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4\01\18\"/>
    </mc:Choice>
  </mc:AlternateContent>
  <bookViews>
    <workbookView xWindow="-120" yWindow="-120" windowWidth="19440" windowHeight="15000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52511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5" i="4"/>
  <c r="AC24" i="4"/>
  <c r="AC23" i="4"/>
  <c r="AC22" i="4" s="1"/>
  <c r="AC7" i="4" s="1"/>
  <c r="AC8" i="4" s="1"/>
  <c r="AC17" i="4"/>
  <c r="AC15" i="4"/>
  <c r="AC10" i="4"/>
  <c r="AC9" i="4"/>
  <c r="Y20" i="4"/>
  <c r="Y19" i="4"/>
  <c r="Y18" i="4"/>
  <c r="Y16" i="4"/>
  <c r="Y15" i="4"/>
  <c r="Y14" i="4"/>
  <c r="Y13" i="4"/>
  <c r="Y12" i="4"/>
  <c r="Y11" i="4"/>
  <c r="Y10" i="4"/>
  <c r="AB28" i="4" l="1"/>
  <c r="AA28" i="4"/>
  <c r="AA26" i="4"/>
  <c r="U10" i="4" l="1"/>
  <c r="T50" i="4"/>
  <c r="T22" i="4" s="1"/>
  <c r="T7" i="4" s="1"/>
  <c r="T8" i="4" s="1"/>
  <c r="S50" i="4"/>
  <c r="T9" i="4"/>
  <c r="T17" i="4"/>
  <c r="T23" i="4"/>
  <c r="T24" i="4"/>
  <c r="T27" i="4"/>
  <c r="T29" i="4"/>
  <c r="T31" i="4"/>
  <c r="T37" i="4"/>
  <c r="T38" i="4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S7" i="4" l="1"/>
  <c r="S8" i="4" s="1"/>
  <c r="AD50" i="4" l="1"/>
  <c r="AD31" i="4" l="1"/>
  <c r="AG52" i="4"/>
  <c r="AG53" i="4"/>
  <c r="AF52" i="4"/>
  <c r="AF35" i="4"/>
  <c r="AF34" i="4"/>
  <c r="AN34" i="4" s="1"/>
  <c r="AF33" i="4"/>
  <c r="AF32" i="4"/>
  <c r="AJ32" i="4" s="1"/>
  <c r="Y52" i="4"/>
  <c r="Y53" i="4"/>
  <c r="Y51" i="4"/>
  <c r="U50" i="4"/>
  <c r="V50" i="4"/>
  <c r="W50" i="4"/>
  <c r="X50" i="4"/>
  <c r="U52" i="4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U31" i="4"/>
  <c r="AQ52" i="4"/>
  <c r="AJ34" i="4"/>
  <c r="AP32" i="4"/>
  <c r="AJ52" i="4"/>
  <c r="AJ35" i="4"/>
  <c r="AP33" i="4"/>
  <c r="AK33" i="4"/>
  <c r="AP34" i="4"/>
  <c r="AF31" i="4"/>
  <c r="AN52" i="4"/>
  <c r="AN32" i="4"/>
  <c r="AP35" i="4"/>
  <c r="AP52" i="4"/>
  <c r="AN33" i="4"/>
  <c r="AN35" i="4"/>
  <c r="AJ33" i="4"/>
  <c r="AF49" i="4"/>
  <c r="AF48" i="4"/>
  <c r="AF44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H61" i="4" s="1"/>
  <c r="Y61" i="4"/>
  <c r="U61" i="4"/>
  <c r="R61" i="4"/>
  <c r="P61" i="4"/>
  <c r="M61" i="4"/>
  <c r="AS61" i="4" s="1"/>
  <c r="K61" i="4"/>
  <c r="AM60" i="4"/>
  <c r="AG60" i="4"/>
  <c r="AF60" i="4"/>
  <c r="AP60" i="4" s="1"/>
  <c r="AM59" i="4"/>
  <c r="AG59" i="4"/>
  <c r="AF59" i="4"/>
  <c r="Y59" i="4"/>
  <c r="U59" i="4"/>
  <c r="R59" i="4"/>
  <c r="P59" i="4"/>
  <c r="K59" i="4"/>
  <c r="AT58" i="4"/>
  <c r="AM58" i="4"/>
  <c r="AG58" i="4"/>
  <c r="AF58" i="4"/>
  <c r="AN58" i="4" s="1"/>
  <c r="Y58" i="4"/>
  <c r="U58" i="4"/>
  <c r="R58" i="4"/>
  <c r="P58" i="4"/>
  <c r="M58" i="4"/>
  <c r="K58" i="4"/>
  <c r="AT57" i="4"/>
  <c r="AM57" i="4"/>
  <c r="AG57" i="4"/>
  <c r="AF57" i="4"/>
  <c r="AL57" i="4" s="1"/>
  <c r="Y57" i="4"/>
  <c r="U57" i="4"/>
  <c r="R57" i="4"/>
  <c r="P57" i="4"/>
  <c r="M57" i="4"/>
  <c r="K57" i="4"/>
  <c r="AT56" i="4"/>
  <c r="AM56" i="4"/>
  <c r="AG56" i="4"/>
  <c r="AF56" i="4"/>
  <c r="AN56" i="4" s="1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AD54" i="4"/>
  <c r="AB54" i="4"/>
  <c r="AA54" i="4"/>
  <c r="Z54" i="4"/>
  <c r="X54" i="4"/>
  <c r="V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D45" i="4"/>
  <c r="AG45" i="4" s="1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F41" i="4"/>
  <c r="AG40" i="4"/>
  <c r="AF40" i="4"/>
  <c r="Y40" i="4"/>
  <c r="U40" i="4"/>
  <c r="R40" i="4"/>
  <c r="P40" i="4"/>
  <c r="AG39" i="4"/>
  <c r="AF39" i="4"/>
  <c r="AO39" i="4" s="1"/>
  <c r="Y39" i="4"/>
  <c r="U39" i="4"/>
  <c r="R39" i="4"/>
  <c r="P39" i="4"/>
  <c r="AM38" i="4"/>
  <c r="AD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AF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D29" i="4"/>
  <c r="AG29" i="4" s="1"/>
  <c r="AB29" i="4"/>
  <c r="AA29" i="4"/>
  <c r="Z29" i="4"/>
  <c r="X29" i="4"/>
  <c r="V29" i="4"/>
  <c r="N29" i="4"/>
  <c r="L29" i="4"/>
  <c r="J29" i="4"/>
  <c r="AG28" i="4"/>
  <c r="AF28" i="4"/>
  <c r="Y28" i="4"/>
  <c r="Y27" i="4" s="1"/>
  <c r="U28" i="4"/>
  <c r="U27" i="4" s="1"/>
  <c r="R28" i="4"/>
  <c r="AM27" i="4"/>
  <c r="AD27" i="4"/>
  <c r="AG27" i="4" s="1"/>
  <c r="AB27" i="4"/>
  <c r="AA27" i="4"/>
  <c r="Z27" i="4"/>
  <c r="V27" i="4"/>
  <c r="R27" i="4"/>
  <c r="P27" i="4"/>
  <c r="M27" i="4"/>
  <c r="K27" i="4"/>
  <c r="AG26" i="4"/>
  <c r="AF26" i="4"/>
  <c r="Y26" i="4"/>
  <c r="R26" i="4"/>
  <c r="AG25" i="4"/>
  <c r="AF25" i="4"/>
  <c r="Y25" i="4"/>
  <c r="R25" i="4"/>
  <c r="AM24" i="4"/>
  <c r="AD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AF20" i="4"/>
  <c r="U20" i="4"/>
  <c r="R20" i="4"/>
  <c r="P20" i="4"/>
  <c r="M20" i="4"/>
  <c r="K20" i="4"/>
  <c r="AM19" i="4"/>
  <c r="AG19" i="4"/>
  <c r="AF19" i="4"/>
  <c r="AN19" i="4" s="1"/>
  <c r="U19" i="4"/>
  <c r="R19" i="4"/>
  <c r="P19" i="4"/>
  <c r="M19" i="4"/>
  <c r="K19" i="4"/>
  <c r="AM18" i="4"/>
  <c r="AG18" i="4"/>
  <c r="AF18" i="4"/>
  <c r="AL18" i="4" s="1"/>
  <c r="U18" i="4"/>
  <c r="U17" i="4" s="1"/>
  <c r="R18" i="4"/>
  <c r="R17" i="4" s="1"/>
  <c r="P18" i="4"/>
  <c r="M18" i="4"/>
  <c r="K18" i="4"/>
  <c r="K17" i="4" s="1"/>
  <c r="AM17" i="4"/>
  <c r="AD17" i="4"/>
  <c r="AG17" i="4" s="1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AF16" i="4"/>
  <c r="AO16" i="4" s="1"/>
  <c r="U16" i="4"/>
  <c r="R16" i="4"/>
  <c r="P16" i="4"/>
  <c r="M16" i="4"/>
  <c r="K16" i="4"/>
  <c r="AM15" i="4"/>
  <c r="AG15" i="4"/>
  <c r="AF15" i="4"/>
  <c r="AO15" i="4" s="1"/>
  <c r="U15" i="4"/>
  <c r="R15" i="4"/>
  <c r="P15" i="4"/>
  <c r="M15" i="4"/>
  <c r="K15" i="4"/>
  <c r="AM14" i="4"/>
  <c r="AG14" i="4"/>
  <c r="AF14" i="4"/>
  <c r="AO14" i="4" s="1"/>
  <c r="U14" i="4"/>
  <c r="R14" i="4"/>
  <c r="P14" i="4"/>
  <c r="M14" i="4"/>
  <c r="K14" i="4"/>
  <c r="AM13" i="4"/>
  <c r="AG13" i="4"/>
  <c r="AF13" i="4"/>
  <c r="P13" i="4"/>
  <c r="M13" i="4"/>
  <c r="K13" i="4"/>
  <c r="AM12" i="4"/>
  <c r="AG12" i="4"/>
  <c r="AF12" i="4"/>
  <c r="AK12" i="4" s="1"/>
  <c r="U12" i="4"/>
  <c r="R12" i="4"/>
  <c r="P12" i="4"/>
  <c r="M12" i="4"/>
  <c r="AS12" i="4" s="1"/>
  <c r="K12" i="4"/>
  <c r="AM11" i="4"/>
  <c r="AG11" i="4"/>
  <c r="AF11" i="4"/>
  <c r="AN11" i="4" s="1"/>
  <c r="U11" i="4"/>
  <c r="R11" i="4"/>
  <c r="P11" i="4"/>
  <c r="M11" i="4"/>
  <c r="K11" i="4"/>
  <c r="AT10" i="4"/>
  <c r="AM10" i="4"/>
  <c r="AG10" i="4"/>
  <c r="AF10" i="4"/>
  <c r="R10" i="4"/>
  <c r="P10" i="4"/>
  <c r="M10" i="4"/>
  <c r="K10" i="4"/>
  <c r="AM7" i="4"/>
  <c r="AO10" i="4" l="1"/>
  <c r="AF50" i="4"/>
  <c r="AD37" i="4"/>
  <c r="AG37" i="4" s="1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S29" i="4" s="1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D9" i="4"/>
  <c r="AG9" i="4" s="1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O58" i="4"/>
  <c r="AS56" i="4"/>
  <c r="AI56" i="4"/>
  <c r="AP49" i="4"/>
  <c r="AD23" i="4"/>
  <c r="AG23" i="4" s="1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Y54" i="4"/>
  <c r="AP55" i="4"/>
  <c r="AP47" i="4"/>
  <c r="AP36" i="4"/>
  <c r="V23" i="4"/>
  <c r="V22" i="4" s="1"/>
  <c r="V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K56" i="4"/>
  <c r="AN59" i="4"/>
  <c r="O8" i="4"/>
  <c r="AK41" i="4"/>
  <c r="AJ41" i="4"/>
  <c r="AI41" i="4"/>
  <c r="AQ43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S24" i="4" s="1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O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O55" i="4"/>
  <c r="AT61" i="4"/>
  <c r="AN16" i="4"/>
  <c r="AO36" i="4"/>
  <c r="AL46" i="4"/>
  <c r="W7" i="4" l="1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D22" i="4"/>
  <c r="AG22" i="4" s="1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D7" i="4"/>
  <c r="AG7" i="4" s="1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D8" i="4"/>
  <c r="AG8" i="4" s="1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U7" i="4"/>
  <c r="U8" i="4" s="1"/>
  <c r="T63" i="4"/>
  <c r="U13" i="4"/>
  <c r="U9" i="4" s="1"/>
  <c r="R13" i="4"/>
  <c r="R7" i="4" s="1"/>
  <c r="R8" i="4" l="1"/>
  <c r="R63" i="4"/>
  <c r="U63" i="4"/>
</calcChain>
</file>

<file path=xl/sharedStrings.xml><?xml version="1.0" encoding="utf-8"?>
<sst xmlns="http://schemas.openxmlformats.org/spreadsheetml/2006/main" count="139" uniqueCount="114">
  <si>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</si>
  <si>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</si>
  <si>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</si>
  <si>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</si>
  <si>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</si>
  <si>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</si>
  <si>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</si>
  <si>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</si>
  <si>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</si>
  <si>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</si>
  <si>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</si>
  <si>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</si>
  <si>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</si>
  <si>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</si>
  <si>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</si>
  <si>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</si>
  <si>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</si>
  <si>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</si>
  <si>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</si>
  <si>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</si>
  <si>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</si>
  <si>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</si>
  <si>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</si>
  <si>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</si>
  <si>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</si>
  <si>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</si>
  <si>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</si>
  <si>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</si>
  <si>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</si>
  <si>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</si>
  <si>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</si>
  <si>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</si>
  <si>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</si>
  <si>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</si>
  <si>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</si>
  <si>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</si>
  <si>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</si>
  <si>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</si>
  <si>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</si>
  <si>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</si>
  <si>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</si>
  <si>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</si>
  <si>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</si>
  <si>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</si>
  <si>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</si>
  <si>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</si>
  <si>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</si>
  <si>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</si>
  <si>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</si>
  <si>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</si>
  <si>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</si>
  <si>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</si>
  <si>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</si>
  <si>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</si>
  <si>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</si>
  <si>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</si>
  <si>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</si>
  <si>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</si>
  <si>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</si>
  <si>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</si>
  <si>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</si>
  <si>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</si>
  <si>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</si>
  <si>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</si>
  <si>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</si>
  <si>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</si>
  <si>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</si>
  <si>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</si>
  <si>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</si>
  <si>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</si>
  <si>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в связи с уменьшением исков в суды общей юрисдикции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</si>
  <si>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</si>
  <si>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</si>
  <si>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</si>
  <si>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</si>
  <si>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</si>
  <si>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начаты мероприятия по направлению увед-й по урегурир. образовавшейся задолженности</t>
  </si>
  <si>
    <t>в связи с заключением договоров аренды на краткосрочный период (11 мес.). Ведется работа по заключению договоров аренды на новый срок (АО "Почта России", Филиал ГУП СК "Ставэлектросеть")</t>
  </si>
  <si>
    <t>этот вид дохода носит заявительный характер, уменьшилось количество обращений граждан и юридических лиц о выкупе земельных участков</t>
  </si>
  <si>
    <t xml:space="preserve">в связи с сокращением количества проведенных аукционов;  
снижение кадастровой стоимости
</t>
  </si>
  <si>
    <t>в связи с отсутствием уплаты по расчету за 2023 год (образовавшаяся задолженность);
19 налогоплательщиков увеличили срок по патенту (с 3-х месяцев на 12 месяцев)</t>
  </si>
  <si>
    <t>откл за отч период к  плану года</t>
  </si>
  <si>
    <t>начальник ФУ АБМО СК</t>
  </si>
  <si>
    <t xml:space="preserve">за счет роста ФОТ за январь – июль 2023 года (по данным Управления Федеральной службы государственной статистики по Северо-Кавказскому Федеральному округу) на 13.4% </t>
  </si>
  <si>
    <t>непредставление уведомлений об исчисленных суммах, уменьшение сумм кадастровой стоимости по решению суда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</si>
  <si>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</si>
  <si>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</si>
  <si>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</si>
  <si>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</si>
  <si>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</si>
  <si>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</si>
  <si>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</si>
  <si>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</si>
  <si>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</si>
  <si>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</si>
  <si>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</si>
  <si>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</si>
  <si>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</si>
  <si>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</si>
  <si>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</si>
  <si>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</si>
  <si>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</si>
  <si>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</si>
  <si>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</si>
  <si>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</si>
  <si>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откл.+- от плана за 1 месяц 2024 года</t>
  </si>
  <si>
    <t>Исполнено с 01.01.2023 по 18.01.2023 год</t>
  </si>
  <si>
    <r>
      <t>Исполнено с 01.01.2023 года по 18.01.2023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</si>
  <si>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01.01.2024 по 15.01.2024 (неделя) П</t>
  </si>
  <si>
    <t>с 16.01.2024 по 18.01.2024 (неделя) Т</t>
  </si>
  <si>
    <t>Исполнение с 01.01.2024 по 15.01.2024
(53,08%)</t>
  </si>
  <si>
    <r>
      <t xml:space="preserve">Исполнение с 01.01.2024 по 18.01.2024
</t>
    </r>
    <r>
      <rPr>
        <b/>
        <sz val="14"/>
        <rFont val="Times New Roman"/>
        <family val="1"/>
        <charset val="204"/>
      </rPr>
      <t>(53,08%)</t>
    </r>
  </si>
  <si>
    <t>откл.+- от исполнения на 18.01.2023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</si>
  <si>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18.01.2024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</si>
</sst>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15" xfId="23"/>
    <cellStyle name="Обычный 16" xfId="24"/>
    <cellStyle name="Обычный 17" xfId="25"/>
    <cellStyle name="Обычный 2" xfId="1"/>
    <cellStyle name="Обычный 2 2" xfId="3"/>
    <cellStyle name="Обычный 2 2 2" xfId="11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7 2" xfId="15"/>
    <cellStyle name="Обычный 8" xfId="8"/>
    <cellStyle name="Обычный 8 2" xfId="16"/>
    <cellStyle name="Обычный 9" xfId="9"/>
    <cellStyle name="Обычный 9 2" xfId="1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I2" sqref="I2:AN2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6" style="1" hidden="1" customWidth="1"/>
    <col min="23" max="23" width="22.140625" style="1" hidden="1" customWidth="1"/>
    <col min="24" max="24" width="24.7109375" style="1" hidden="1" customWidth="1"/>
    <col min="25" max="25" width="24.140625" style="1" customWidth="1"/>
    <col min="26" max="26" width="15.28515625" style="1" hidden="1" customWidth="1"/>
    <col min="27" max="27" width="24.140625" style="1" customWidth="1"/>
    <col min="28" max="28" width="23.7109375" style="1" hidden="1" customWidth="1"/>
    <col min="29" max="29" width="22.140625" style="1" hidden="1" customWidth="1"/>
    <col min="30" max="30" width="21.5703125" style="1" hidden="1" customWidth="1"/>
    <col min="31" max="31" width="23.7109375" style="1" hidden="1" customWidth="1"/>
    <col min="32" max="32" width="26.28515625" style="1" customWidth="1"/>
    <col min="33" max="33" width="20.5703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20" t="s">
        <v>113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1.977868616893331</v>
      </c>
      <c r="U3" s="104"/>
      <c r="V3" s="106">
        <f>V8/S8%</f>
        <v>1.9801297390919397</v>
      </c>
      <c r="W3" s="106"/>
      <c r="X3" s="105"/>
      <c r="Y3" s="80"/>
      <c r="Z3" s="80">
        <f>U3-Y63</f>
        <v>-120915930.19548996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5" t="s">
        <v>34</v>
      </c>
      <c r="J4" s="116" t="s">
        <v>45</v>
      </c>
      <c r="K4" s="116" t="s">
        <v>51</v>
      </c>
      <c r="L4" s="117" t="s">
        <v>56</v>
      </c>
      <c r="M4" s="116" t="s">
        <v>54</v>
      </c>
      <c r="N4" s="116" t="s">
        <v>53</v>
      </c>
      <c r="O4" s="117" t="s">
        <v>50</v>
      </c>
      <c r="P4" s="116" t="s">
        <v>63</v>
      </c>
      <c r="Q4" s="117" t="s">
        <v>65</v>
      </c>
      <c r="R4" s="116" t="s">
        <v>64</v>
      </c>
      <c r="S4" s="128" t="s">
        <v>90</v>
      </c>
      <c r="T4" s="117" t="s">
        <v>89</v>
      </c>
      <c r="U4" s="116" t="s">
        <v>91</v>
      </c>
      <c r="V4" s="117" t="s">
        <v>106</v>
      </c>
      <c r="W4" s="118" t="s">
        <v>81</v>
      </c>
      <c r="X4" s="136" t="s">
        <v>88</v>
      </c>
      <c r="Y4" s="116" t="s">
        <v>107</v>
      </c>
      <c r="Z4" s="130" t="s">
        <v>66</v>
      </c>
      <c r="AA4" s="121" t="s">
        <v>104</v>
      </c>
      <c r="AB4" s="122"/>
      <c r="AC4" s="129" t="s">
        <v>57</v>
      </c>
      <c r="AD4" s="129"/>
      <c r="AE4" s="132" t="s">
        <v>110</v>
      </c>
      <c r="AF4" s="116" t="s">
        <v>111</v>
      </c>
      <c r="AG4" s="126" t="s">
        <v>43</v>
      </c>
      <c r="AH4" s="128" t="s">
        <v>67</v>
      </c>
      <c r="AI4" s="128"/>
      <c r="AJ4" s="129" t="s">
        <v>103</v>
      </c>
      <c r="AK4" s="129"/>
      <c r="AL4" s="129" t="s">
        <v>52</v>
      </c>
      <c r="AM4" s="129"/>
      <c r="AN4" s="129" t="s">
        <v>105</v>
      </c>
      <c r="AO4" s="129"/>
      <c r="AP4" s="129" t="s">
        <v>112</v>
      </c>
      <c r="AQ4" s="129"/>
      <c r="AR4" s="129" t="s">
        <v>55</v>
      </c>
      <c r="AS4" s="129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5"/>
      <c r="J5" s="116"/>
      <c r="K5" s="116"/>
      <c r="L5" s="117"/>
      <c r="M5" s="116"/>
      <c r="N5" s="116"/>
      <c r="O5" s="117"/>
      <c r="P5" s="116"/>
      <c r="Q5" s="117"/>
      <c r="R5" s="116"/>
      <c r="S5" s="128"/>
      <c r="T5" s="117"/>
      <c r="U5" s="116"/>
      <c r="V5" s="117"/>
      <c r="W5" s="119"/>
      <c r="X5" s="136"/>
      <c r="Y5" s="116"/>
      <c r="Z5" s="131"/>
      <c r="AA5" s="123"/>
      <c r="AB5" s="124"/>
      <c r="AC5" s="79" t="s">
        <v>108</v>
      </c>
      <c r="AD5" s="79" t="s">
        <v>109</v>
      </c>
      <c r="AE5" s="133"/>
      <c r="AF5" s="116"/>
      <c r="AG5" s="127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5</v>
      </c>
      <c r="AG6" s="30">
        <v>9</v>
      </c>
      <c r="AH6" s="30">
        <v>10</v>
      </c>
      <c r="AI6" s="30">
        <v>11</v>
      </c>
      <c r="AJ6" s="30">
        <v>6</v>
      </c>
      <c r="AK6" s="30">
        <v>7</v>
      </c>
      <c r="AL6" s="30">
        <v>9</v>
      </c>
      <c r="AM6" s="30">
        <v>10</v>
      </c>
      <c r="AN6" s="30">
        <v>12</v>
      </c>
      <c r="AO6" s="30">
        <v>13</v>
      </c>
      <c r="AP6" s="30">
        <v>8</v>
      </c>
      <c r="AQ6" s="30">
        <v>9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4" t="s">
        <v>8</v>
      </c>
      <c r="C7" s="134"/>
      <c r="D7" s="134"/>
      <c r="E7" s="134"/>
      <c r="F7" s="134"/>
      <c r="G7" s="134"/>
      <c r="H7" s="134"/>
      <c r="I7" s="134"/>
      <c r="J7" s="44">
        <f t="shared" ref="J7:P7" si="0">J10+J11+J13+J14+J15+J16+J17+J20+J23+J36+J37+J45+J48+J50+J12</f>
        <v>360649780.94999993</v>
      </c>
      <c r="K7" s="44">
        <f t="shared" si="0"/>
        <v>345072092.21513432</v>
      </c>
      <c r="L7" s="44">
        <f t="shared" si="0"/>
        <v>126453042.85999998</v>
      </c>
      <c r="M7" s="44">
        <f t="shared" si="0"/>
        <v>118977570.92554319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8798165.3100000005</v>
      </c>
      <c r="W7" s="44">
        <f>V7/S7%</f>
        <v>2.1467503378071573</v>
      </c>
      <c r="X7" s="44">
        <f>X9+X22</f>
        <v>0</v>
      </c>
      <c r="Y7" s="44">
        <f>Y9+Y22</f>
        <v>9582174.3154899497</v>
      </c>
      <c r="Z7" s="44">
        <f t="shared" ref="Z7:AF7" si="2">Z9+Z22</f>
        <v>400415099.64999998</v>
      </c>
      <c r="AA7" s="44">
        <f t="shared" si="2"/>
        <v>577599454.96000004</v>
      </c>
      <c r="AB7" s="44">
        <f t="shared" si="2"/>
        <v>17984284.41</v>
      </c>
      <c r="AC7" s="44">
        <f t="shared" ref="AC7" si="3">AC9+AC22</f>
        <v>270289.15999999997</v>
      </c>
      <c r="AD7" s="44">
        <f t="shared" si="2"/>
        <v>3197325.21</v>
      </c>
      <c r="AE7" s="44">
        <v>270289.15999999997</v>
      </c>
      <c r="AF7" s="44">
        <f t="shared" si="2"/>
        <v>3467614.37</v>
      </c>
      <c r="AG7" s="44">
        <f>AD7-AC7</f>
        <v>2927036.05</v>
      </c>
      <c r="AH7" s="44">
        <f t="shared" ref="AH7:AH63" si="4">AF7-Z7</f>
        <v>-396947485.27999997</v>
      </c>
      <c r="AI7" s="44">
        <f t="shared" ref="AI7:AI28" si="5">AF7/Z7*100</f>
        <v>0.86600489667622871</v>
      </c>
      <c r="AJ7" s="44">
        <f>AF7-AA7</f>
        <v>-574131840.59000003</v>
      </c>
      <c r="AK7" s="44">
        <f>AF7/AA7%</f>
        <v>0.60034931477560682</v>
      </c>
      <c r="AL7" s="44" t="e">
        <f>AF7-#REF!</f>
        <v>#REF!</v>
      </c>
      <c r="AM7" s="44" t="e">
        <f>IF(#REF!=0,0,AF7/#REF!*100)</f>
        <v>#REF!</v>
      </c>
      <c r="AN7" s="44">
        <f>AF7-AB7</f>
        <v>-14516670.039999999</v>
      </c>
      <c r="AO7" s="44">
        <f>AF7/AB7*100</f>
        <v>19.281358607028391</v>
      </c>
      <c r="AP7" s="44">
        <f>AF7-Y7</f>
        <v>-6114559.9454899495</v>
      </c>
      <c r="AQ7" s="44">
        <f>AF7/Y7%</f>
        <v>36.188178755989334</v>
      </c>
      <c r="AR7" s="44">
        <f>AF7-M7</f>
        <v>-115509956.55554318</v>
      </c>
      <c r="AS7" s="44">
        <f>IF(M7=0,0,AF7/M7*100)</f>
        <v>2.9145109813765253</v>
      </c>
      <c r="AT7" s="45" t="e">
        <f>AT10+AT11+AT13+AT14+AT15+AT16+AT17+AT20+AT23+AT36+AT37+AT45+AT48+AT50+AT12</f>
        <v>#REF!</v>
      </c>
    </row>
    <row r="8" spans="1:47" s="10" customFormat="1" ht="99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7328084.6900000004</v>
      </c>
      <c r="W8" s="44">
        <f t="shared" ref="W8:W9" si="7">V8/S8%</f>
        <v>1.9801297390919397</v>
      </c>
      <c r="X8" s="52">
        <f t="shared" ref="X8:AD8" si="8">X7-X37-X53</f>
        <v>0</v>
      </c>
      <c r="Y8" s="52">
        <f t="shared" si="8"/>
        <v>8112093.6954899505</v>
      </c>
      <c r="Z8" s="52">
        <f t="shared" si="8"/>
        <v>372608810</v>
      </c>
      <c r="AA8" s="52">
        <f t="shared" si="8"/>
        <v>545150607.50999999</v>
      </c>
      <c r="AB8" s="52">
        <f t="shared" si="8"/>
        <v>16498119.390000001</v>
      </c>
      <c r="AC8" s="52">
        <f t="shared" ref="AC8" si="9">AC7-AC37-AC53</f>
        <v>270289.15999999997</v>
      </c>
      <c r="AD8" s="52">
        <f t="shared" si="8"/>
        <v>3197324.21</v>
      </c>
      <c r="AE8" s="52">
        <v>270289.15999999997</v>
      </c>
      <c r="AF8" s="52">
        <f>AF7-AF37-AF53</f>
        <v>3467613.37</v>
      </c>
      <c r="AG8" s="51">
        <f t="shared" ref="AG8:AG63" si="10">AD8-AC8</f>
        <v>2927035.05</v>
      </c>
      <c r="AH8" s="64">
        <f t="shared" si="4"/>
        <v>-369141196.63</v>
      </c>
      <c r="AI8" s="64">
        <f t="shared" si="5"/>
        <v>0.93063107391368449</v>
      </c>
      <c r="AJ8" s="51">
        <f t="shared" ref="AJ8:AJ62" si="11">AF8-AA8</f>
        <v>-541682994.13999999</v>
      </c>
      <c r="AK8" s="51">
        <f>AF8/AA8%</f>
        <v>0.63608355603573119</v>
      </c>
      <c r="AL8" s="51"/>
      <c r="AM8" s="51"/>
      <c r="AN8" s="64">
        <f t="shared" ref="AN8:AN63" si="12">AF8-AB8</f>
        <v>-13030506.02</v>
      </c>
      <c r="AO8" s="64">
        <f t="shared" ref="AO8:AO63" si="13">AF8/AB8*100</f>
        <v>21.018234187963408</v>
      </c>
      <c r="AP8" s="51">
        <f t="shared" ref="AP8:AP63" si="14">AF8-Y8</f>
        <v>-4644480.3254899504</v>
      </c>
      <c r="AQ8" s="51">
        <f>AF8/Y8%</f>
        <v>42.746219412232328</v>
      </c>
      <c r="AR8" s="23"/>
      <c r="AS8" s="23"/>
      <c r="AT8" s="49"/>
    </row>
    <row r="9" spans="1:47" s="10" customFormat="1" ht="30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6395637.7100000009</v>
      </c>
      <c r="W9" s="44">
        <f t="shared" si="7"/>
        <v>1.977868616893331</v>
      </c>
      <c r="X9" s="70">
        <f t="shared" si="16"/>
        <v>0</v>
      </c>
      <c r="Y9" s="70">
        <f>Y10+Y11+Y12+Y13+Y14+Y15+Y16+Y17+Y20+Y21</f>
        <v>7179646.71548995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16369953</v>
      </c>
      <c r="AC9" s="70">
        <f t="shared" ref="AC9:AD9" si="17">AC10+AC11+AC12+AC13+AC14+AC15+AC16+AC17+AC20+AC21</f>
        <v>247488.15999999997</v>
      </c>
      <c r="AD9" s="70">
        <f t="shared" si="17"/>
        <v>3047532.76</v>
      </c>
      <c r="AE9" s="70">
        <v>247488.15999999997</v>
      </c>
      <c r="AF9" s="70">
        <f>AF10+AF11+AF12+AF13+AF14+AF15+AF16+AF17+AF20+AF21</f>
        <v>3295020.92</v>
      </c>
      <c r="AG9" s="71">
        <f t="shared" si="10"/>
        <v>2800044.5999999996</v>
      </c>
      <c r="AH9" s="72"/>
      <c r="AI9" s="72"/>
      <c r="AJ9" s="71">
        <f t="shared" si="11"/>
        <v>-490595316.58999997</v>
      </c>
      <c r="AK9" s="71">
        <f>AF9/AA9%</f>
        <v>0.66715638467684835</v>
      </c>
      <c r="AL9" s="73"/>
      <c r="AM9" s="73"/>
      <c r="AN9" s="72">
        <f t="shared" si="12"/>
        <v>-13074932.08</v>
      </c>
      <c r="AO9" s="72">
        <f t="shared" si="13"/>
        <v>20.128469031035092</v>
      </c>
      <c r="AP9" s="71">
        <f t="shared" si="14"/>
        <v>-3884625.7954899501</v>
      </c>
      <c r="AQ9" s="71">
        <f>AF9/Y9%</f>
        <v>45.893914430233117</v>
      </c>
      <c r="AR9" s="23"/>
      <c r="AS9" s="23"/>
      <c r="AT9" s="49"/>
    </row>
    <row r="10" spans="1:47" s="10" customFormat="1" ht="91.5" customHeight="1" x14ac:dyDescent="0.3">
      <c r="A10" s="9"/>
      <c r="B10" s="135" t="s">
        <v>26</v>
      </c>
      <c r="C10" s="135"/>
      <c r="D10" s="135"/>
      <c r="E10" s="135"/>
      <c r="F10" s="135"/>
      <c r="G10" s="135"/>
      <c r="H10" s="135"/>
      <c r="I10" s="135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1175275.27</v>
      </c>
      <c r="W10" s="12"/>
      <c r="X10" s="46"/>
      <c r="Y10" s="47">
        <f>V10/31.84%*53.08%</f>
        <v>1959284.2754899494</v>
      </c>
      <c r="Z10" s="46">
        <v>188231000</v>
      </c>
      <c r="AA10" s="46">
        <v>340259137.50999999</v>
      </c>
      <c r="AB10" s="46">
        <v>12587965</v>
      </c>
      <c r="AC10" s="46">
        <f>8660.64-1411.4</f>
        <v>7249.24</v>
      </c>
      <c r="AD10" s="46">
        <v>200099.97</v>
      </c>
      <c r="AE10" s="46">
        <v>7249.24</v>
      </c>
      <c r="AF10" s="46">
        <f>AE10+AD10</f>
        <v>207349.21</v>
      </c>
      <c r="AG10" s="46">
        <f t="shared" si="10"/>
        <v>192850.73</v>
      </c>
      <c r="AH10" s="44">
        <f t="shared" si="4"/>
        <v>-188023650.78999999</v>
      </c>
      <c r="AI10" s="44">
        <f t="shared" si="5"/>
        <v>0.11015678076406119</v>
      </c>
      <c r="AJ10" s="46">
        <f t="shared" si="11"/>
        <v>-340051788.30000001</v>
      </c>
      <c r="AK10" s="44">
        <f t="shared" ref="AK10:AK63" si="18">AF10/AA10%</f>
        <v>6.0938616231549739E-2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-12380615.789999999</v>
      </c>
      <c r="AO10" s="44">
        <f t="shared" si="13"/>
        <v>1.647201990154882</v>
      </c>
      <c r="AP10" s="46">
        <f t="shared" si="14"/>
        <v>-1751935.0654899494</v>
      </c>
      <c r="AQ10" s="44">
        <v>0</v>
      </c>
      <c r="AR10" s="46">
        <f t="shared" ref="AR10:AR20" si="19">AF10-M10</f>
        <v>-58628100.88554322</v>
      </c>
      <c r="AS10" s="46">
        <f t="shared" ref="AS10:AS20" si="20">IF(M10=0,0,AF10/M10*100)</f>
        <v>0.35242223806104045</v>
      </c>
      <c r="AT10" s="48" t="e">
        <f>#REF!</f>
        <v>#REF!</v>
      </c>
      <c r="AU10" s="86" t="s">
        <v>83</v>
      </c>
    </row>
    <row r="11" spans="1:47" s="10" customFormat="1" ht="61.5" customHeight="1" x14ac:dyDescent="0.3">
      <c r="A11" s="9"/>
      <c r="B11" s="125" t="s">
        <v>25</v>
      </c>
      <c r="C11" s="125"/>
      <c r="D11" s="125"/>
      <c r="E11" s="125"/>
      <c r="F11" s="125"/>
      <c r="G11" s="125"/>
      <c r="H11" s="125"/>
      <c r="I11" s="125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0</v>
      </c>
      <c r="W11" s="12"/>
      <c r="X11" s="12"/>
      <c r="Y11" s="12">
        <f t="shared" ref="Y11:Y16" si="21">V11</f>
        <v>0</v>
      </c>
      <c r="Z11" s="12">
        <v>28603900</v>
      </c>
      <c r="AA11" s="12">
        <v>32294200</v>
      </c>
      <c r="AB11" s="12">
        <v>2684180</v>
      </c>
      <c r="AC11" s="12">
        <v>0</v>
      </c>
      <c r="AD11" s="12">
        <v>14820.17</v>
      </c>
      <c r="AE11" s="12">
        <v>0</v>
      </c>
      <c r="AF11" s="12">
        <f t="shared" ref="AF11:AF62" si="22">AE11+AD11</f>
        <v>14820.17</v>
      </c>
      <c r="AG11" s="12">
        <f t="shared" si="10"/>
        <v>14820.17</v>
      </c>
      <c r="AH11" s="44">
        <f t="shared" si="4"/>
        <v>-28589079.829999998</v>
      </c>
      <c r="AI11" s="44">
        <f t="shared" si="5"/>
        <v>5.181171099045935E-2</v>
      </c>
      <c r="AJ11" s="12">
        <f t="shared" si="11"/>
        <v>-32279379.829999998</v>
      </c>
      <c r="AK11" s="44">
        <f t="shared" si="18"/>
        <v>4.5891119767636296E-2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-2669359.83</v>
      </c>
      <c r="AO11" s="44">
        <f>AF11/AB11*100</f>
        <v>0.55213025952059847</v>
      </c>
      <c r="AP11" s="12">
        <f t="shared" si="14"/>
        <v>14820.17</v>
      </c>
      <c r="AQ11" s="44">
        <v>0</v>
      </c>
      <c r="AR11" s="12">
        <f t="shared" si="19"/>
        <v>-7879104.9400000004</v>
      </c>
      <c r="AS11" s="12">
        <f t="shared" si="20"/>
        <v>0.18774145679727633</v>
      </c>
      <c r="AT11" s="34">
        <v>24865000</v>
      </c>
    </row>
    <row r="12" spans="1:47" s="10" customFormat="1" ht="45.75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3">J12</f>
        <v>0</v>
      </c>
      <c r="L12" s="12">
        <v>0</v>
      </c>
      <c r="M12" s="36">
        <f t="shared" ref="M12" si="24">L12</f>
        <v>0</v>
      </c>
      <c r="N12" s="12">
        <v>8810490.5399999991</v>
      </c>
      <c r="O12" s="12">
        <v>9529840.7599999998</v>
      </c>
      <c r="P12" s="12">
        <f t="shared" ref="P12:P15" si="25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62568.66</v>
      </c>
      <c r="W12" s="12"/>
      <c r="X12" s="12"/>
      <c r="Y12" s="12">
        <f t="shared" si="21"/>
        <v>62568.66</v>
      </c>
      <c r="Z12" s="12">
        <v>11972000</v>
      </c>
      <c r="AA12" s="12">
        <v>27969000</v>
      </c>
      <c r="AB12" s="12">
        <v>5593</v>
      </c>
      <c r="AC12" s="12">
        <v>0</v>
      </c>
      <c r="AD12" s="12">
        <v>66759.990000000005</v>
      </c>
      <c r="AE12" s="12">
        <v>0</v>
      </c>
      <c r="AF12" s="12">
        <f t="shared" si="22"/>
        <v>66759.990000000005</v>
      </c>
      <c r="AG12" s="12">
        <f t="shared" si="10"/>
        <v>66759.990000000005</v>
      </c>
      <c r="AH12" s="44">
        <f t="shared" si="4"/>
        <v>-11905240.01</v>
      </c>
      <c r="AI12" s="44">
        <f t="shared" si="5"/>
        <v>0.55763439692616112</v>
      </c>
      <c r="AJ12" s="12">
        <f t="shared" si="11"/>
        <v>-27902240.010000002</v>
      </c>
      <c r="AK12" s="44">
        <f t="shared" si="18"/>
        <v>0.23869280274589727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61166.990000000005</v>
      </c>
      <c r="AO12" s="44">
        <f t="shared" si="13"/>
        <v>1193.6347219738961</v>
      </c>
      <c r="AP12" s="12">
        <f t="shared" si="14"/>
        <v>4191.3300000000017</v>
      </c>
      <c r="AQ12" s="44">
        <v>0</v>
      </c>
      <c r="AR12" s="12">
        <f t="shared" si="19"/>
        <v>66759.990000000005</v>
      </c>
      <c r="AS12" s="12">
        <f t="shared" si="20"/>
        <v>0</v>
      </c>
      <c r="AT12" s="34">
        <f>AF12</f>
        <v>66759.990000000005</v>
      </c>
    </row>
    <row r="13" spans="1:47" s="10" customFormat="1" ht="70.5" customHeight="1" x14ac:dyDescent="0.3">
      <c r="A13" s="9"/>
      <c r="B13" s="125" t="s">
        <v>24</v>
      </c>
      <c r="C13" s="125"/>
      <c r="D13" s="125"/>
      <c r="E13" s="125"/>
      <c r="F13" s="125"/>
      <c r="G13" s="125"/>
      <c r="H13" s="125"/>
      <c r="I13" s="125"/>
      <c r="J13" s="12">
        <v>11880184.26</v>
      </c>
      <c r="K13" s="12">
        <f t="shared" si="23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5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6">T13</f>
        <v>-283271.29000000004</v>
      </c>
      <c r="V13" s="12">
        <v>19065.29</v>
      </c>
      <c r="W13" s="12"/>
      <c r="X13" s="12"/>
      <c r="Y13" s="12">
        <f t="shared" si="21"/>
        <v>19065.29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f t="shared" si="22"/>
        <v>0</v>
      </c>
      <c r="AG13" s="12">
        <f t="shared" si="10"/>
        <v>0</v>
      </c>
      <c r="AH13" s="44">
        <f t="shared" si="4"/>
        <v>-8000</v>
      </c>
      <c r="AI13" s="44">
        <f t="shared" si="5"/>
        <v>0</v>
      </c>
      <c r="AJ13" s="12">
        <f t="shared" si="11"/>
        <v>0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0</v>
      </c>
      <c r="AO13" s="44">
        <v>0</v>
      </c>
      <c r="AP13" s="12">
        <f t="shared" si="14"/>
        <v>-19065.29</v>
      </c>
      <c r="AQ13" s="44">
        <v>0</v>
      </c>
      <c r="AR13" s="12">
        <f t="shared" si="19"/>
        <v>-5414678.8600000003</v>
      </c>
      <c r="AS13" s="12">
        <f t="shared" si="20"/>
        <v>0</v>
      </c>
      <c r="AT13" s="34">
        <f>AF13</f>
        <v>0</v>
      </c>
      <c r="AU13" s="86" t="s">
        <v>75</v>
      </c>
    </row>
    <row r="14" spans="1:47" s="10" customFormat="1" ht="42.75" customHeight="1" x14ac:dyDescent="0.3">
      <c r="A14" s="9"/>
      <c r="B14" s="125" t="s">
        <v>23</v>
      </c>
      <c r="C14" s="125"/>
      <c r="D14" s="125"/>
      <c r="E14" s="125"/>
      <c r="F14" s="125"/>
      <c r="G14" s="125"/>
      <c r="H14" s="125"/>
      <c r="I14" s="125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8841.82</v>
      </c>
      <c r="W14" s="12"/>
      <c r="X14" s="12"/>
      <c r="Y14" s="12">
        <f t="shared" si="21"/>
        <v>8841.82</v>
      </c>
      <c r="Z14" s="12">
        <v>5814000</v>
      </c>
      <c r="AA14" s="12">
        <v>7692000</v>
      </c>
      <c r="AB14" s="12">
        <v>515364</v>
      </c>
      <c r="AC14" s="12">
        <v>0</v>
      </c>
      <c r="AD14" s="12">
        <v>8403</v>
      </c>
      <c r="AE14" s="12">
        <v>0</v>
      </c>
      <c r="AF14" s="12">
        <f t="shared" si="22"/>
        <v>8403</v>
      </c>
      <c r="AG14" s="12">
        <f t="shared" si="10"/>
        <v>8403</v>
      </c>
      <c r="AH14" s="44">
        <f t="shared" si="4"/>
        <v>-5805597</v>
      </c>
      <c r="AI14" s="44">
        <f t="shared" si="5"/>
        <v>0.14453044375644994</v>
      </c>
      <c r="AJ14" s="12">
        <f t="shared" si="11"/>
        <v>-7683597</v>
      </c>
      <c r="AK14" s="44">
        <f t="shared" si="18"/>
        <v>0.10924336973478939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-506961</v>
      </c>
      <c r="AO14" s="44">
        <f t="shared" si="13"/>
        <v>1.6304980557431255</v>
      </c>
      <c r="AP14" s="12">
        <f t="shared" si="14"/>
        <v>-438.81999999999971</v>
      </c>
      <c r="AQ14" s="44">
        <v>0</v>
      </c>
      <c r="AR14" s="12">
        <f t="shared" si="19"/>
        <v>-3558674.86</v>
      </c>
      <c r="AS14" s="12">
        <f t="shared" si="20"/>
        <v>0.23557097237008445</v>
      </c>
      <c r="AT14" s="34">
        <f>AF14</f>
        <v>8403</v>
      </c>
      <c r="AU14" s="86"/>
    </row>
    <row r="15" spans="1:47" s="10" customFormat="1" ht="99" customHeight="1" x14ac:dyDescent="0.3">
      <c r="A15" s="9"/>
      <c r="B15" s="125" t="s">
        <v>22</v>
      </c>
      <c r="C15" s="125"/>
      <c r="D15" s="125"/>
      <c r="E15" s="125"/>
      <c r="F15" s="125"/>
      <c r="G15" s="125"/>
      <c r="H15" s="125"/>
      <c r="I15" s="125"/>
      <c r="J15" s="12">
        <v>199821.72</v>
      </c>
      <c r="K15" s="12">
        <f t="shared" ref="K15" si="27">J15</f>
        <v>199821.72</v>
      </c>
      <c r="L15" s="12">
        <v>141824.35999999999</v>
      </c>
      <c r="M15" s="12">
        <f t="shared" ref="M15" si="28">L15</f>
        <v>141824.35999999999</v>
      </c>
      <c r="N15" s="12">
        <v>4514274.29</v>
      </c>
      <c r="O15" s="12">
        <v>6011745.4100000001</v>
      </c>
      <c r="P15" s="12">
        <f t="shared" si="25"/>
        <v>6011745.4100000001</v>
      </c>
      <c r="Q15" s="12">
        <v>6011745.4100000001</v>
      </c>
      <c r="R15" s="12">
        <f t="shared" ref="R15" si="29">Q15</f>
        <v>6011745.4100000001</v>
      </c>
      <c r="S15" s="12">
        <v>2368000</v>
      </c>
      <c r="T15" s="12">
        <v>2659940.33</v>
      </c>
      <c r="U15" s="12">
        <f t="shared" si="26"/>
        <v>2659940.33</v>
      </c>
      <c r="V15" s="12">
        <v>4332793.2</v>
      </c>
      <c r="W15" s="12"/>
      <c r="X15" s="12"/>
      <c r="Y15" s="12">
        <f t="shared" si="21"/>
        <v>4332793.2</v>
      </c>
      <c r="Z15" s="12">
        <v>8168000</v>
      </c>
      <c r="AA15" s="12">
        <v>6694000</v>
      </c>
      <c r="AB15" s="12">
        <v>3694</v>
      </c>
      <c r="AC15" s="12">
        <f>-5267+248014.12</f>
        <v>242747.12</v>
      </c>
      <c r="AD15" s="12">
        <v>2214027.36</v>
      </c>
      <c r="AE15" s="12">
        <v>242747.12</v>
      </c>
      <c r="AF15" s="12">
        <f t="shared" si="22"/>
        <v>2456774.48</v>
      </c>
      <c r="AG15" s="12">
        <f t="shared" si="10"/>
        <v>1971280.2399999998</v>
      </c>
      <c r="AH15" s="44">
        <f t="shared" si="4"/>
        <v>-5711225.5199999996</v>
      </c>
      <c r="AI15" s="44">
        <f t="shared" si="5"/>
        <v>30.078042115572966</v>
      </c>
      <c r="AJ15" s="12">
        <f t="shared" si="11"/>
        <v>-4237225.5199999996</v>
      </c>
      <c r="AK15" s="44">
        <f t="shared" si="18"/>
        <v>36.701142515685689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2453080.48</v>
      </c>
      <c r="AO15" s="44">
        <f t="shared" si="13"/>
        <v>66507.159718462368</v>
      </c>
      <c r="AP15" s="12">
        <f t="shared" si="14"/>
        <v>-1876018.7200000002</v>
      </c>
      <c r="AQ15" s="44">
        <v>0</v>
      </c>
      <c r="AR15" s="12">
        <f t="shared" si="19"/>
        <v>2314950.12</v>
      </c>
      <c r="AS15" s="12">
        <f t="shared" si="20"/>
        <v>1732.2655148946203</v>
      </c>
      <c r="AT15" s="34">
        <f>AF15</f>
        <v>2456774.48</v>
      </c>
      <c r="AU15" s="86" t="s">
        <v>80</v>
      </c>
    </row>
    <row r="16" spans="1:47" s="10" customFormat="1" ht="65.25" customHeight="1" x14ac:dyDescent="0.3">
      <c r="A16" s="9"/>
      <c r="B16" s="125" t="s">
        <v>21</v>
      </c>
      <c r="C16" s="125"/>
      <c r="D16" s="125"/>
      <c r="E16" s="125"/>
      <c r="F16" s="125"/>
      <c r="G16" s="125"/>
      <c r="H16" s="125"/>
      <c r="I16" s="125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333849.48</v>
      </c>
      <c r="W16" s="12"/>
      <c r="X16" s="12"/>
      <c r="Y16" s="12">
        <f t="shared" si="21"/>
        <v>333849.48</v>
      </c>
      <c r="Z16" s="12">
        <v>15443000</v>
      </c>
      <c r="AA16" s="12">
        <v>14460000</v>
      </c>
      <c r="AB16" s="12">
        <v>189200</v>
      </c>
      <c r="AC16" s="12">
        <v>-402</v>
      </c>
      <c r="AD16" s="12">
        <v>182513.25</v>
      </c>
      <c r="AE16" s="12">
        <v>-402</v>
      </c>
      <c r="AF16" s="12">
        <f t="shared" si="22"/>
        <v>182111.25</v>
      </c>
      <c r="AG16" s="12">
        <f t="shared" si="10"/>
        <v>182915.25</v>
      </c>
      <c r="AH16" s="44">
        <f t="shared" si="4"/>
        <v>-15260888.75</v>
      </c>
      <c r="AI16" s="44">
        <f t="shared" si="5"/>
        <v>1.1792478792980639</v>
      </c>
      <c r="AJ16" s="12">
        <f t="shared" si="11"/>
        <v>-14277888.75</v>
      </c>
      <c r="AK16" s="44">
        <f t="shared" si="18"/>
        <v>1.2594139004149378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-7088.75</v>
      </c>
      <c r="AO16" s="44">
        <f t="shared" si="13"/>
        <v>96.253303382663844</v>
      </c>
      <c r="AP16" s="12">
        <f t="shared" si="14"/>
        <v>-151738.22999999998</v>
      </c>
      <c r="AQ16" s="44">
        <v>0</v>
      </c>
      <c r="AR16" s="12">
        <f t="shared" si="19"/>
        <v>-978567.6399999999</v>
      </c>
      <c r="AS16" s="12">
        <f t="shared" si="20"/>
        <v>15.690063080237465</v>
      </c>
      <c r="AT16" s="34">
        <v>11117000</v>
      </c>
      <c r="AU16" s="86" t="s">
        <v>76</v>
      </c>
    </row>
    <row r="17" spans="1:47" s="10" customFormat="1" ht="24" customHeight="1" x14ac:dyDescent="0.3">
      <c r="A17" s="9"/>
      <c r="B17" s="125" t="s">
        <v>19</v>
      </c>
      <c r="C17" s="125"/>
      <c r="D17" s="125"/>
      <c r="E17" s="125"/>
      <c r="F17" s="125"/>
      <c r="G17" s="125"/>
      <c r="H17" s="125"/>
      <c r="I17" s="125"/>
      <c r="J17" s="12">
        <f t="shared" ref="J17:AF17" si="30">J18+J19</f>
        <v>59077329.089999996</v>
      </c>
      <c r="K17" s="12">
        <f t="shared" si="30"/>
        <v>59077329.089999996</v>
      </c>
      <c r="L17" s="12">
        <f t="shared" si="30"/>
        <v>13651268.75</v>
      </c>
      <c r="M17" s="12">
        <f t="shared" si="30"/>
        <v>13651268.75</v>
      </c>
      <c r="N17" s="12">
        <f t="shared" si="30"/>
        <v>57000020</v>
      </c>
      <c r="O17" s="12">
        <f t="shared" si="30"/>
        <v>59153838.839999996</v>
      </c>
      <c r="P17" s="12">
        <f t="shared" si="30"/>
        <v>59153838.839999996</v>
      </c>
      <c r="Q17" s="12">
        <v>59153838.839999996</v>
      </c>
      <c r="R17" s="12">
        <f t="shared" si="30"/>
        <v>59153838.839999996</v>
      </c>
      <c r="S17" s="12">
        <f t="shared" si="30"/>
        <v>54189000</v>
      </c>
      <c r="T17" s="12">
        <f t="shared" si="30"/>
        <v>55922478.88000001</v>
      </c>
      <c r="U17" s="12">
        <f t="shared" ref="U17:X17" si="31">U18+U19</f>
        <v>55922478.88000001</v>
      </c>
      <c r="V17" s="12">
        <f t="shared" si="31"/>
        <v>388059.04000000004</v>
      </c>
      <c r="W17" s="12"/>
      <c r="X17" s="12">
        <f t="shared" si="31"/>
        <v>0</v>
      </c>
      <c r="Y17" s="12">
        <f>Y18+Y19</f>
        <v>388059.04000000004</v>
      </c>
      <c r="Z17" s="12">
        <f t="shared" ref="Z17:AC17" si="32">Z18+Z19</f>
        <v>57489000</v>
      </c>
      <c r="AA17" s="12">
        <f t="shared" si="32"/>
        <v>56779000</v>
      </c>
      <c r="AB17" s="12">
        <f t="shared" si="32"/>
        <v>43265</v>
      </c>
      <c r="AC17" s="12">
        <f t="shared" si="32"/>
        <v>-461</v>
      </c>
      <c r="AD17" s="12">
        <f t="shared" ref="AD17" si="33">AD18+AD19</f>
        <v>254751</v>
      </c>
      <c r="AE17" s="12">
        <v>-461</v>
      </c>
      <c r="AF17" s="12">
        <f t="shared" si="30"/>
        <v>254290</v>
      </c>
      <c r="AG17" s="12">
        <f t="shared" si="10"/>
        <v>255212</v>
      </c>
      <c r="AH17" s="44">
        <f t="shared" si="4"/>
        <v>-57234710</v>
      </c>
      <c r="AI17" s="44">
        <f t="shared" si="5"/>
        <v>0.4423280975490963</v>
      </c>
      <c r="AJ17" s="12">
        <f t="shared" si="11"/>
        <v>-56524710</v>
      </c>
      <c r="AK17" s="44">
        <f t="shared" si="18"/>
        <v>0.44785924373447927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211025</v>
      </c>
      <c r="AO17" s="44">
        <f t="shared" si="13"/>
        <v>587.74991332485843</v>
      </c>
      <c r="AP17" s="12">
        <f t="shared" si="14"/>
        <v>-133769.04000000004</v>
      </c>
      <c r="AQ17" s="44">
        <v>0</v>
      </c>
      <c r="AR17" s="12">
        <f t="shared" si="19"/>
        <v>-13396978.75</v>
      </c>
      <c r="AS17" s="12">
        <f t="shared" si="20"/>
        <v>1.8627572620310475</v>
      </c>
      <c r="AT17" s="34">
        <f>AT18+AT19</f>
        <v>254290</v>
      </c>
      <c r="AU17" s="5"/>
    </row>
    <row r="18" spans="1:47" s="5" customFormat="1" ht="63.75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v>14287.52</v>
      </c>
      <c r="W18" s="53"/>
      <c r="X18" s="53"/>
      <c r="Y18" s="13">
        <f>V18</f>
        <v>14287.52</v>
      </c>
      <c r="Z18" s="66">
        <v>23363753.050000001</v>
      </c>
      <c r="AA18" s="66">
        <v>22995495</v>
      </c>
      <c r="AB18" s="16">
        <v>22995</v>
      </c>
      <c r="AC18" s="13">
        <v>-461</v>
      </c>
      <c r="AD18" s="13">
        <v>-186.21</v>
      </c>
      <c r="AE18" s="13">
        <v>-461</v>
      </c>
      <c r="AF18" s="13">
        <f t="shared" si="22"/>
        <v>-647.21</v>
      </c>
      <c r="AG18" s="13">
        <f t="shared" si="10"/>
        <v>274.78999999999996</v>
      </c>
      <c r="AH18" s="44">
        <f t="shared" si="4"/>
        <v>-23364400.260000002</v>
      </c>
      <c r="AI18" s="44">
        <f t="shared" si="5"/>
        <v>-2.7701456979746667E-3</v>
      </c>
      <c r="AJ18" s="13">
        <f t="shared" si="11"/>
        <v>-22996142.210000001</v>
      </c>
      <c r="AK18" s="44">
        <f t="shared" si="18"/>
        <v>-2.8145077981578566E-3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-23642.21</v>
      </c>
      <c r="AO18" s="44">
        <f t="shared" si="13"/>
        <v>-2.8145683844313982</v>
      </c>
      <c r="AP18" s="13">
        <f t="shared" si="14"/>
        <v>-14934.73</v>
      </c>
      <c r="AQ18" s="44">
        <v>0</v>
      </c>
      <c r="AR18" s="13">
        <f t="shared" si="19"/>
        <v>-10086263.720000001</v>
      </c>
      <c r="AS18" s="13">
        <f t="shared" si="20"/>
        <v>-6.4171585282692852E-3</v>
      </c>
      <c r="AT18" s="31">
        <f>AF18</f>
        <v>-647.21</v>
      </c>
      <c r="AU18" s="86" t="s">
        <v>84</v>
      </c>
    </row>
    <row r="19" spans="1:47" s="5" customFormat="1" ht="61.5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373771.52000000002</v>
      </c>
      <c r="W19" s="53"/>
      <c r="X19" s="53"/>
      <c r="Y19" s="13">
        <f>V19</f>
        <v>373771.52000000002</v>
      </c>
      <c r="Z19" s="66">
        <v>34125246.950000003</v>
      </c>
      <c r="AA19" s="66">
        <v>33783505</v>
      </c>
      <c r="AB19" s="16">
        <v>20270</v>
      </c>
      <c r="AC19" s="13">
        <v>0</v>
      </c>
      <c r="AD19" s="13">
        <v>254937.21</v>
      </c>
      <c r="AE19" s="13">
        <v>0</v>
      </c>
      <c r="AF19" s="13">
        <f t="shared" si="22"/>
        <v>254937.21</v>
      </c>
      <c r="AG19" s="13">
        <f t="shared" si="10"/>
        <v>254937.21</v>
      </c>
      <c r="AH19" s="44">
        <f t="shared" si="4"/>
        <v>-33870309.740000002</v>
      </c>
      <c r="AI19" s="44">
        <f t="shared" si="5"/>
        <v>0.74706334103173422</v>
      </c>
      <c r="AJ19" s="13">
        <f t="shared" si="11"/>
        <v>-33528567.789999999</v>
      </c>
      <c r="AK19" s="44">
        <f t="shared" si="18"/>
        <v>0.75462036872728278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234667.21</v>
      </c>
      <c r="AO19" s="44">
        <f t="shared" si="13"/>
        <v>1257.707005426739</v>
      </c>
      <c r="AP19" s="13">
        <f t="shared" si="14"/>
        <v>-118834.31000000003</v>
      </c>
      <c r="AQ19" s="44">
        <v>0</v>
      </c>
      <c r="AR19" s="13">
        <f t="shared" si="19"/>
        <v>-3310715.0300000003</v>
      </c>
      <c r="AS19" s="13">
        <f t="shared" si="20"/>
        <v>7.1498057813961129</v>
      </c>
      <c r="AT19" s="31">
        <f>AF19</f>
        <v>254937.21</v>
      </c>
      <c r="AU19" s="86" t="s">
        <v>76</v>
      </c>
    </row>
    <row r="20" spans="1:47" s="10" customFormat="1" ht="30.75" customHeight="1" x14ac:dyDescent="0.3">
      <c r="A20" s="9"/>
      <c r="B20" s="125" t="s">
        <v>18</v>
      </c>
      <c r="C20" s="125"/>
      <c r="D20" s="125"/>
      <c r="E20" s="125"/>
      <c r="F20" s="125"/>
      <c r="G20" s="125"/>
      <c r="H20" s="125"/>
      <c r="I20" s="125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75184.95</v>
      </c>
      <c r="W20" s="12"/>
      <c r="X20" s="12"/>
      <c r="Y20" s="12">
        <f>V20</f>
        <v>75184.95</v>
      </c>
      <c r="Z20" s="12">
        <v>7706000</v>
      </c>
      <c r="AA20" s="12">
        <v>7743000</v>
      </c>
      <c r="AB20" s="12">
        <v>340692</v>
      </c>
      <c r="AC20" s="12">
        <v>-1645.2</v>
      </c>
      <c r="AD20" s="12">
        <v>106158.02</v>
      </c>
      <c r="AE20" s="12">
        <v>-1645.2</v>
      </c>
      <c r="AF20" s="12">
        <f t="shared" si="22"/>
        <v>104512.82</v>
      </c>
      <c r="AG20" s="12">
        <f t="shared" si="10"/>
        <v>107803.22</v>
      </c>
      <c r="AH20" s="44">
        <f t="shared" si="4"/>
        <v>-7601487.1799999997</v>
      </c>
      <c r="AI20" s="44">
        <f t="shared" si="5"/>
        <v>1.3562525304957176</v>
      </c>
      <c r="AJ20" s="12">
        <f t="shared" si="11"/>
        <v>-7638487.1799999997</v>
      </c>
      <c r="AK20" s="44">
        <f t="shared" si="18"/>
        <v>1.3497716647294331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-236179.18</v>
      </c>
      <c r="AO20" s="44">
        <f t="shared" si="13"/>
        <v>30.676628743850753</v>
      </c>
      <c r="AP20" s="12">
        <f t="shared" si="14"/>
        <v>29327.87000000001</v>
      </c>
      <c r="AQ20" s="44">
        <f t="shared" ref="AQ20:AQ63" si="34">AF20/Y20%</f>
        <v>139.00763384161328</v>
      </c>
      <c r="AR20" s="12">
        <f t="shared" si="19"/>
        <v>-2969506.64</v>
      </c>
      <c r="AS20" s="12">
        <f t="shared" si="20"/>
        <v>3.3998750287677098</v>
      </c>
      <c r="AT20" s="34">
        <f>AF20</f>
        <v>104512.82</v>
      </c>
      <c r="AU20" s="86" t="s">
        <v>70</v>
      </c>
    </row>
    <row r="21" spans="1:47" s="10" customFormat="1" ht="62.25" customHeight="1" x14ac:dyDescent="0.3">
      <c r="A21" s="9"/>
      <c r="B21" s="137" t="s">
        <v>58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2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5">S23+S36+S37+S45+S48+S50</f>
        <v>86476358.480000004</v>
      </c>
      <c r="T22" s="71">
        <f t="shared" si="35"/>
        <v>93832615.929999977</v>
      </c>
      <c r="U22" s="71">
        <f>U23+U36+U37+U45+U48+U50</f>
        <v>91729067.069999978</v>
      </c>
      <c r="V22" s="71">
        <f>V23+V36+V37+V45+V48+V50</f>
        <v>2402527.5999999996</v>
      </c>
      <c r="W22" s="71"/>
      <c r="X22" s="71">
        <f t="shared" ref="X22:AD22" si="36">X23+X36+X37+X45+X48+X50</f>
        <v>0</v>
      </c>
      <c r="Y22" s="71">
        <f t="shared" si="36"/>
        <v>2402527.5999999996</v>
      </c>
      <c r="Z22" s="71">
        <f t="shared" si="36"/>
        <v>76980199.650000006</v>
      </c>
      <c r="AA22" s="71">
        <f t="shared" si="36"/>
        <v>83709117.450000003</v>
      </c>
      <c r="AB22" s="71">
        <f t="shared" si="36"/>
        <v>1614331.4100000001</v>
      </c>
      <c r="AC22" s="71">
        <f t="shared" ref="AC22" si="37">AC23+AC36+AC37+AC45+AC48+AC50</f>
        <v>22801</v>
      </c>
      <c r="AD22" s="71">
        <f t="shared" si="36"/>
        <v>149792.45000000001</v>
      </c>
      <c r="AE22" s="71">
        <v>22801</v>
      </c>
      <c r="AF22" s="71">
        <f>AF23+AF36+AF37+AF45+AF48+AF50</f>
        <v>172593.45</v>
      </c>
      <c r="AG22" s="71">
        <f t="shared" ref="AG22" si="38">AD22-AC22</f>
        <v>126991.45000000001</v>
      </c>
      <c r="AH22" s="72">
        <f t="shared" si="4"/>
        <v>-76807606.200000003</v>
      </c>
      <c r="AI22" s="72">
        <f t="shared" ref="AI22" si="39">AF22/Z22*100</f>
        <v>0.2242049913935239</v>
      </c>
      <c r="AJ22" s="71">
        <f t="shared" si="11"/>
        <v>-83536524</v>
      </c>
      <c r="AK22" s="72">
        <f t="shared" ref="AK22" si="40">AF22/AA22%</f>
        <v>0.20618237924093655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-1441737.9600000002</v>
      </c>
      <c r="AO22" s="72">
        <f t="shared" ref="AO22" si="41">AF22/AB22*100</f>
        <v>10.691327005772624</v>
      </c>
      <c r="AP22" s="71">
        <f t="shared" si="14"/>
        <v>-2229934.1499999994</v>
      </c>
      <c r="AQ22" s="72">
        <f t="shared" ref="AQ22" si="42">AF22/Y22%</f>
        <v>7.1838279818304702</v>
      </c>
      <c r="AR22" s="12"/>
      <c r="AS22" s="12"/>
      <c r="AT22" s="34"/>
    </row>
    <row r="23" spans="1:47" s="10" customFormat="1" ht="83.25" customHeight="1" x14ac:dyDescent="0.3">
      <c r="A23" s="9"/>
      <c r="B23" s="125" t="s">
        <v>17</v>
      </c>
      <c r="C23" s="125"/>
      <c r="D23" s="125"/>
      <c r="E23" s="125"/>
      <c r="F23" s="125"/>
      <c r="G23" s="125"/>
      <c r="H23" s="125"/>
      <c r="I23" s="125"/>
      <c r="J23" s="60">
        <f t="shared" ref="J23:AF23" si="43">J24+J27+J29+J31</f>
        <v>39449619.330000006</v>
      </c>
      <c r="K23" s="60">
        <f t="shared" si="43"/>
        <v>39449619.330000006</v>
      </c>
      <c r="L23" s="60">
        <f t="shared" si="43"/>
        <v>10238465.989999998</v>
      </c>
      <c r="M23" s="60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4">S24+S27+S29+S31</f>
        <v>42777461.119999997</v>
      </c>
      <c r="T23" s="12">
        <f t="shared" si="44"/>
        <v>47630236.639999993</v>
      </c>
      <c r="U23" s="12">
        <f>U24+U27+U29+U31</f>
        <v>46969616.779999994</v>
      </c>
      <c r="V23" s="12">
        <f t="shared" ref="V23:X23" si="45">V24+V27+V29+V31</f>
        <v>877947.21</v>
      </c>
      <c r="W23" s="12"/>
      <c r="X23" s="12">
        <f t="shared" si="45"/>
        <v>0</v>
      </c>
      <c r="Y23" s="12">
        <f>Y24+Y27+Y29+Y31</f>
        <v>877947.21</v>
      </c>
      <c r="Z23" s="12">
        <f t="shared" ref="Z23:AB23" si="46">Z24+Z27+Z29+Z31</f>
        <v>47029000</v>
      </c>
      <c r="AA23" s="12">
        <f t="shared" si="46"/>
        <v>49534190</v>
      </c>
      <c r="AB23" s="12">
        <f t="shared" si="46"/>
        <v>122566.39000000001</v>
      </c>
      <c r="AC23" s="12">
        <f>AC24+AC27+AC29+AC31</f>
        <v>22801</v>
      </c>
      <c r="AD23" s="12">
        <f>AD24+AD27+AD29+AD31</f>
        <v>142386</v>
      </c>
      <c r="AE23" s="12">
        <v>22801</v>
      </c>
      <c r="AF23" s="12">
        <f t="shared" si="43"/>
        <v>165187</v>
      </c>
      <c r="AG23" s="12">
        <f t="shared" si="10"/>
        <v>119585</v>
      </c>
      <c r="AH23" s="44">
        <f t="shared" si="4"/>
        <v>-46863813</v>
      </c>
      <c r="AI23" s="44">
        <f t="shared" si="5"/>
        <v>0.35124497650385933</v>
      </c>
      <c r="AJ23" s="12">
        <f t="shared" si="11"/>
        <v>-49369003</v>
      </c>
      <c r="AK23" s="44">
        <f t="shared" si="18"/>
        <v>0.33348077358285255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42620.609999999986</v>
      </c>
      <c r="AO23" s="44">
        <f t="shared" si="13"/>
        <v>134.77348888222943</v>
      </c>
      <c r="AP23" s="12">
        <f t="shared" si="14"/>
        <v>-712760.21</v>
      </c>
      <c r="AQ23" s="44">
        <f t="shared" si="34"/>
        <v>18.815140377289886</v>
      </c>
      <c r="AR23" s="12">
        <f>AF23-M23</f>
        <v>-10073278.989999998</v>
      </c>
      <c r="AS23" s="12">
        <f>IF(M23=0,0,AF23/M23*100)</f>
        <v>1.6133959927330874</v>
      </c>
      <c r="AT23" s="34">
        <f>AT24+AT27+AT29+AT31</f>
        <v>146806</v>
      </c>
    </row>
    <row r="24" spans="1:47" s="5" customFormat="1" ht="114.75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7">U25+U26</f>
        <v>44043460.589999996</v>
      </c>
      <c r="V24" s="13">
        <f>V25+V26</f>
        <v>809236.26</v>
      </c>
      <c r="W24" s="13"/>
      <c r="X24" s="13">
        <f t="shared" si="47"/>
        <v>0</v>
      </c>
      <c r="Y24" s="12">
        <f t="shared" si="47"/>
        <v>809236.26</v>
      </c>
      <c r="Z24" s="12">
        <f t="shared" si="47"/>
        <v>46880510</v>
      </c>
      <c r="AA24" s="12">
        <f>AA25+AA26</f>
        <v>48200367.740000002</v>
      </c>
      <c r="AB24" s="12">
        <f>AB25+AB26</f>
        <v>0</v>
      </c>
      <c r="AC24" s="12">
        <f>AC25+AC26</f>
        <v>22801</v>
      </c>
      <c r="AD24" s="12">
        <f>AD25+AD26</f>
        <v>111650</v>
      </c>
      <c r="AE24" s="12">
        <v>22801</v>
      </c>
      <c r="AF24" s="12">
        <f t="shared" ref="AF24" si="48">AF25+AF26</f>
        <v>134451</v>
      </c>
      <c r="AG24" s="12">
        <f>AD24-AC24</f>
        <v>88849</v>
      </c>
      <c r="AH24" s="44">
        <f t="shared" si="4"/>
        <v>-46746059</v>
      </c>
      <c r="AI24" s="44">
        <f t="shared" si="5"/>
        <v>0.28679508819336652</v>
      </c>
      <c r="AJ24" s="12">
        <f t="shared" si="11"/>
        <v>-48065916.740000002</v>
      </c>
      <c r="AK24" s="44">
        <f t="shared" si="18"/>
        <v>0.27894185522660081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134451</v>
      </c>
      <c r="AO24" s="44">
        <v>0</v>
      </c>
      <c r="AP24" s="12">
        <f t="shared" si="14"/>
        <v>-674785.26</v>
      </c>
      <c r="AQ24" s="44">
        <f t="shared" si="34"/>
        <v>16.61455456778469</v>
      </c>
      <c r="AR24" s="12">
        <f>AF24-M24</f>
        <v>-9733693.6099999994</v>
      </c>
      <c r="AS24" s="12">
        <f>IF(M24=0,0,AF24/M24*100)</f>
        <v>1.3624749668114156</v>
      </c>
      <c r="AT24" s="31">
        <f>AF24</f>
        <v>134451</v>
      </c>
    </row>
    <row r="25" spans="1:47" s="5" customFormat="1" ht="37.5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242683.2</v>
      </c>
      <c r="W25" s="13"/>
      <c r="X25" s="13"/>
      <c r="Y25" s="12">
        <f>V25</f>
        <v>242683.2</v>
      </c>
      <c r="Z25" s="13">
        <v>34696660</v>
      </c>
      <c r="AA25" s="13">
        <v>36508280</v>
      </c>
      <c r="AB25" s="13">
        <v>0</v>
      </c>
      <c r="AC25" s="13">
        <f>8137+14664</f>
        <v>22801</v>
      </c>
      <c r="AD25" s="13">
        <v>111650</v>
      </c>
      <c r="AE25" s="13">
        <v>22801</v>
      </c>
      <c r="AF25" s="13">
        <f t="shared" si="22"/>
        <v>134451</v>
      </c>
      <c r="AG25" s="13">
        <f>AD25-AC25</f>
        <v>88849</v>
      </c>
      <c r="AH25" s="44">
        <f t="shared" si="4"/>
        <v>-34562209</v>
      </c>
      <c r="AI25" s="44">
        <f t="shared" si="5"/>
        <v>0.38750415746068928</v>
      </c>
      <c r="AJ25" s="13">
        <f t="shared" si="11"/>
        <v>-36373829</v>
      </c>
      <c r="AK25" s="42">
        <f t="shared" si="18"/>
        <v>0.36827536109616776</v>
      </c>
      <c r="AL25" s="13"/>
      <c r="AM25" s="13"/>
      <c r="AN25" s="42">
        <f t="shared" si="12"/>
        <v>134451</v>
      </c>
      <c r="AO25" s="42">
        <v>0</v>
      </c>
      <c r="AP25" s="13">
        <f t="shared" si="14"/>
        <v>-108232.20000000001</v>
      </c>
      <c r="AQ25" s="42">
        <f t="shared" si="34"/>
        <v>55.40185723610039</v>
      </c>
      <c r="AR25" s="12"/>
      <c r="AS25" s="12"/>
      <c r="AT25" s="31"/>
    </row>
    <row r="26" spans="1:47" s="5" customFormat="1" ht="67.5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92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v>566553.06000000006</v>
      </c>
      <c r="W26" s="16"/>
      <c r="X26" s="16"/>
      <c r="Y26" s="12">
        <f>V26</f>
        <v>566553.06000000006</v>
      </c>
      <c r="Z26" s="13">
        <v>12183850</v>
      </c>
      <c r="AA26" s="13">
        <f>6966987.74+4725100</f>
        <v>11692087.74</v>
      </c>
      <c r="AB26" s="13">
        <v>0</v>
      </c>
      <c r="AC26" s="13">
        <v>0</v>
      </c>
      <c r="AD26" s="13">
        <v>0</v>
      </c>
      <c r="AE26" s="13">
        <v>0</v>
      </c>
      <c r="AF26" s="13">
        <f t="shared" si="22"/>
        <v>0</v>
      </c>
      <c r="AG26" s="13">
        <f>AD26-AC26</f>
        <v>0</v>
      </c>
      <c r="AH26" s="44">
        <f t="shared" si="4"/>
        <v>-12183850</v>
      </c>
      <c r="AI26" s="44">
        <f t="shared" si="5"/>
        <v>0</v>
      </c>
      <c r="AJ26" s="12">
        <f t="shared" si="11"/>
        <v>-11692087.74</v>
      </c>
      <c r="AK26" s="42">
        <f t="shared" si="18"/>
        <v>0</v>
      </c>
      <c r="AL26" s="13"/>
      <c r="AM26" s="13"/>
      <c r="AN26" s="42">
        <f t="shared" si="12"/>
        <v>0</v>
      </c>
      <c r="AO26" s="42">
        <v>0</v>
      </c>
      <c r="AP26" s="13">
        <f t="shared" si="14"/>
        <v>-566553.06000000006</v>
      </c>
      <c r="AQ26" s="42">
        <f t="shared" si="34"/>
        <v>0</v>
      </c>
      <c r="AR26" s="12"/>
      <c r="AS26" s="12"/>
      <c r="AT26" s="31"/>
      <c r="AU26" s="107" t="s">
        <v>79</v>
      </c>
    </row>
    <row r="27" spans="1:47" s="5" customFormat="1" ht="80.25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49">S28</f>
        <v>989651.62</v>
      </c>
      <c r="T27" s="12">
        <f t="shared" si="49"/>
        <v>1733380.9700000002</v>
      </c>
      <c r="U27" s="13">
        <f t="shared" ref="U27:AB27" si="50">U28</f>
        <v>1733380.9700000002</v>
      </c>
      <c r="V27" s="13">
        <f t="shared" si="50"/>
        <v>64820.84</v>
      </c>
      <c r="W27" s="13"/>
      <c r="X27" s="13"/>
      <c r="Y27" s="12">
        <f t="shared" si="50"/>
        <v>64820.84</v>
      </c>
      <c r="Z27" s="12">
        <f t="shared" si="50"/>
        <v>100490</v>
      </c>
      <c r="AA27" s="12">
        <f t="shared" si="50"/>
        <v>549832.26</v>
      </c>
      <c r="AB27" s="12">
        <f t="shared" si="50"/>
        <v>101337.23000000001</v>
      </c>
      <c r="AC27" s="12">
        <f>AC28</f>
        <v>0</v>
      </c>
      <c r="AD27" s="12">
        <f>AD28</f>
        <v>12355</v>
      </c>
      <c r="AE27" s="12">
        <v>0</v>
      </c>
      <c r="AF27" s="12">
        <f t="shared" ref="AF27" si="51">AF28</f>
        <v>12355</v>
      </c>
      <c r="AG27" s="12">
        <f t="shared" si="10"/>
        <v>12355</v>
      </c>
      <c r="AH27" s="44">
        <f t="shared" si="4"/>
        <v>-88135</v>
      </c>
      <c r="AI27" s="44">
        <f t="shared" si="5"/>
        <v>12.294755697084286</v>
      </c>
      <c r="AJ27" s="12">
        <f t="shared" si="11"/>
        <v>-537477.26</v>
      </c>
      <c r="AK27" s="44">
        <f t="shared" si="18"/>
        <v>2.2470489454365588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-88982.23000000001</v>
      </c>
      <c r="AO27" s="44">
        <f t="shared" si="13"/>
        <v>12.191965381331222</v>
      </c>
      <c r="AP27" s="12">
        <f t="shared" si="14"/>
        <v>-52465.84</v>
      </c>
      <c r="AQ27" s="44">
        <f t="shared" si="34"/>
        <v>19.060228161190135</v>
      </c>
      <c r="AR27" s="12">
        <f>AF27-M27</f>
        <v>-321370.84000000003</v>
      </c>
      <c r="AS27" s="12">
        <f>IF(M27=0,0,AF27/M27*100)</f>
        <v>3.7021406553355294</v>
      </c>
      <c r="AT27" s="31">
        <f>AF27</f>
        <v>12355</v>
      </c>
    </row>
    <row r="28" spans="1:47" s="5" customFormat="1" ht="93.75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93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v>64820.84</v>
      </c>
      <c r="W28" s="16"/>
      <c r="X28" s="16"/>
      <c r="Y28" s="16">
        <f>V28</f>
        <v>64820.84</v>
      </c>
      <c r="Z28" s="16">
        <v>100490</v>
      </c>
      <c r="AA28" s="16">
        <f>109952.06+439880.2</f>
        <v>549832.26</v>
      </c>
      <c r="AB28" s="16">
        <f>35737.79+65599.44</f>
        <v>101337.23000000001</v>
      </c>
      <c r="AC28" s="13">
        <v>0</v>
      </c>
      <c r="AD28" s="13">
        <v>12355</v>
      </c>
      <c r="AE28" s="13">
        <v>0</v>
      </c>
      <c r="AF28" s="13">
        <f t="shared" si="22"/>
        <v>12355</v>
      </c>
      <c r="AG28" s="13">
        <f>AD28-AC28</f>
        <v>12355</v>
      </c>
      <c r="AH28" s="44">
        <f t="shared" si="4"/>
        <v>-88135</v>
      </c>
      <c r="AI28" s="44">
        <f t="shared" si="5"/>
        <v>12.294755697084286</v>
      </c>
      <c r="AJ28" s="13">
        <f t="shared" si="11"/>
        <v>-537477.26</v>
      </c>
      <c r="AK28" s="42">
        <f t="shared" si="18"/>
        <v>2.2470489454365588</v>
      </c>
      <c r="AL28" s="16"/>
      <c r="AM28" s="16"/>
      <c r="AN28" s="42">
        <f t="shared" si="12"/>
        <v>-88982.23000000001</v>
      </c>
      <c r="AO28" s="42">
        <f t="shared" si="13"/>
        <v>12.191965381331222</v>
      </c>
      <c r="AP28" s="13">
        <f t="shared" si="14"/>
        <v>-52465.84</v>
      </c>
      <c r="AQ28" s="42">
        <f t="shared" si="34"/>
        <v>19.060228161190135</v>
      </c>
      <c r="AR28" s="12"/>
      <c r="AS28" s="12"/>
      <c r="AT28" s="31"/>
      <c r="AU28" s="102" t="s">
        <v>77</v>
      </c>
    </row>
    <row r="29" spans="1:47" s="10" customFormat="1" ht="48" customHeight="1" x14ac:dyDescent="0.3">
      <c r="A29" s="9"/>
      <c r="B29" s="139" t="s">
        <v>16</v>
      </c>
      <c r="C29" s="139"/>
      <c r="D29" s="139"/>
      <c r="E29" s="139"/>
      <c r="F29" s="139"/>
      <c r="G29" s="139"/>
      <c r="H29" s="139"/>
      <c r="I29" s="139"/>
      <c r="J29" s="12">
        <f t="shared" ref="J29:AB29" si="52">J30</f>
        <v>13500</v>
      </c>
      <c r="K29" s="12">
        <f t="shared" si="52"/>
        <v>13500</v>
      </c>
      <c r="L29" s="12">
        <f t="shared" si="52"/>
        <v>13500</v>
      </c>
      <c r="M29" s="12">
        <f t="shared" si="52"/>
        <v>13500</v>
      </c>
      <c r="N29" s="12">
        <f t="shared" si="52"/>
        <v>145882.54999999999</v>
      </c>
      <c r="O29" s="12">
        <f t="shared" si="52"/>
        <v>145882.54999999999</v>
      </c>
      <c r="P29" s="12">
        <f t="shared" si="52"/>
        <v>145882.54999999999</v>
      </c>
      <c r="Q29" s="12">
        <v>145882.54999999999</v>
      </c>
      <c r="R29" s="12">
        <f t="shared" si="52"/>
        <v>145882.54999999999</v>
      </c>
      <c r="S29" s="12">
        <f t="shared" si="52"/>
        <v>65907.5</v>
      </c>
      <c r="T29" s="12">
        <f t="shared" si="52"/>
        <v>65907.5</v>
      </c>
      <c r="U29" s="12">
        <f>U30</f>
        <v>65907.5</v>
      </c>
      <c r="V29" s="12">
        <f t="shared" ref="V29:X29" si="53">V30</f>
        <v>0</v>
      </c>
      <c r="W29" s="12"/>
      <c r="X29" s="12">
        <f t="shared" si="53"/>
        <v>0</v>
      </c>
      <c r="Y29" s="12">
        <f>Y30</f>
        <v>0</v>
      </c>
      <c r="Z29" s="12">
        <f t="shared" si="52"/>
        <v>0</v>
      </c>
      <c r="AA29" s="12">
        <f t="shared" si="52"/>
        <v>60000</v>
      </c>
      <c r="AB29" s="12">
        <f t="shared" si="52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v>100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100</v>
      </c>
      <c r="AP29" s="12">
        <f t="shared" si="14"/>
        <v>0</v>
      </c>
      <c r="AQ29" s="44">
        <v>100</v>
      </c>
      <c r="AR29" s="12">
        <f t="shared" ref="AR29:AR38" si="54">AF29-M29</f>
        <v>-13500</v>
      </c>
      <c r="AS29" s="12">
        <f t="shared" ref="AS29:AS38" si="55">IF(M29=0,0,AF29/M29*100)</f>
        <v>0</v>
      </c>
      <c r="AT29" s="34">
        <f t="shared" ref="AT29" si="56">AT30</f>
        <v>0</v>
      </c>
    </row>
    <row r="30" spans="1:47" s="5" customFormat="1" ht="84.75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2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v>100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100</v>
      </c>
      <c r="AP30" s="13">
        <f t="shared" si="14"/>
        <v>0</v>
      </c>
      <c r="AQ30" s="42">
        <v>100</v>
      </c>
      <c r="AR30" s="12">
        <f t="shared" si="54"/>
        <v>-13500</v>
      </c>
      <c r="AS30" s="12">
        <f t="shared" si="55"/>
        <v>0</v>
      </c>
      <c r="AT30" s="31">
        <f>AF30</f>
        <v>0</v>
      </c>
    </row>
    <row r="31" spans="1:47" s="10" customFormat="1" ht="58.5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85</v>
      </c>
      <c r="J31" s="12">
        <f t="shared" ref="J31:R31" si="57">J35</f>
        <v>59624.2</v>
      </c>
      <c r="K31" s="12">
        <f t="shared" si="57"/>
        <v>59624.2</v>
      </c>
      <c r="L31" s="12">
        <f t="shared" si="57"/>
        <v>23095.54</v>
      </c>
      <c r="M31" s="12">
        <f t="shared" si="57"/>
        <v>23095.54</v>
      </c>
      <c r="N31" s="12">
        <f t="shared" si="57"/>
        <v>33317.79</v>
      </c>
      <c r="O31" s="12">
        <f t="shared" si="57"/>
        <v>67233.87</v>
      </c>
      <c r="P31" s="12">
        <f t="shared" si="57"/>
        <v>67233.87</v>
      </c>
      <c r="Q31" s="12">
        <v>67233.87</v>
      </c>
      <c r="R31" s="12">
        <f t="shared" si="57"/>
        <v>67233.87</v>
      </c>
      <c r="S31" s="12">
        <f t="shared" ref="S31:T31" si="58">S32+S33+S34+S35</f>
        <v>1027310</v>
      </c>
      <c r="T31" s="12">
        <f t="shared" si="58"/>
        <v>1126867.72</v>
      </c>
      <c r="U31" s="12">
        <f>U32+U33+U34+U35</f>
        <v>1126867.72</v>
      </c>
      <c r="V31" s="12">
        <f t="shared" ref="V31:Y31" si="59">V32+V33+V34+V35</f>
        <v>3890.11</v>
      </c>
      <c r="W31" s="12">
        <f t="shared" si="59"/>
        <v>0</v>
      </c>
      <c r="X31" s="12">
        <f t="shared" si="59"/>
        <v>0</v>
      </c>
      <c r="Y31" s="12">
        <f t="shared" si="59"/>
        <v>3890.11</v>
      </c>
      <c r="Z31" s="12">
        <f>Z32+Z33+Z34+Z35</f>
        <v>48000</v>
      </c>
      <c r="AA31" s="12">
        <f t="shared" ref="AA31" si="60">AA32+AA33+AA34+AA35</f>
        <v>723990</v>
      </c>
      <c r="AB31" s="12">
        <f t="shared" ref="AB31:AD31" si="61">AB32+AB33+AB34+AB35</f>
        <v>21229.16</v>
      </c>
      <c r="AC31" s="12">
        <f t="shared" ref="AC31" si="62">AC32+AC33+AC34+AC35</f>
        <v>0</v>
      </c>
      <c r="AD31" s="12">
        <f t="shared" si="61"/>
        <v>18381</v>
      </c>
      <c r="AE31" s="12">
        <v>0</v>
      </c>
      <c r="AF31" s="12">
        <f t="shared" ref="AF31" si="63">AF32+AF33+AF34+AF35</f>
        <v>18381</v>
      </c>
      <c r="AG31" s="12">
        <f t="shared" si="10"/>
        <v>18381</v>
      </c>
      <c r="AH31" s="44">
        <f t="shared" si="4"/>
        <v>-29619</v>
      </c>
      <c r="AI31" s="44">
        <v>0</v>
      </c>
      <c r="AJ31" s="12">
        <f t="shared" si="11"/>
        <v>-705609</v>
      </c>
      <c r="AK31" s="44">
        <f t="shared" si="18"/>
        <v>2.5388472216467082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-2848.16</v>
      </c>
      <c r="AO31" s="44">
        <f t="shared" si="13"/>
        <v>86.583736709318686</v>
      </c>
      <c r="AP31" s="12">
        <f t="shared" si="14"/>
        <v>14490.89</v>
      </c>
      <c r="AQ31" s="44">
        <f t="shared" si="34"/>
        <v>472.505918855765</v>
      </c>
      <c r="AR31" s="12">
        <f t="shared" si="54"/>
        <v>-4714.5400000000009</v>
      </c>
      <c r="AS31" s="12">
        <f t="shared" si="55"/>
        <v>79.586794679838619</v>
      </c>
      <c r="AT31" s="34">
        <f t="shared" ref="AT31" si="64">AT35</f>
        <v>0</v>
      </c>
    </row>
    <row r="32" spans="1:47" s="10" customFormat="1" ht="58.5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94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2600.11</v>
      </c>
      <c r="W32" s="13"/>
      <c r="X32" s="13"/>
      <c r="Y32" s="13">
        <f>V32</f>
        <v>2600.11</v>
      </c>
      <c r="Z32" s="13"/>
      <c r="AA32" s="13">
        <v>649240</v>
      </c>
      <c r="AB32" s="13">
        <v>15000</v>
      </c>
      <c r="AC32" s="113">
        <v>0</v>
      </c>
      <c r="AD32" s="113">
        <v>0</v>
      </c>
      <c r="AE32" s="13">
        <v>0</v>
      </c>
      <c r="AF32" s="13">
        <f t="shared" si="22"/>
        <v>0</v>
      </c>
      <c r="AG32" s="12"/>
      <c r="AH32" s="44"/>
      <c r="AI32" s="44"/>
      <c r="AJ32" s="13">
        <f t="shared" si="11"/>
        <v>-649240</v>
      </c>
      <c r="AK32" s="42">
        <v>100</v>
      </c>
      <c r="AL32" s="12"/>
      <c r="AM32" s="12"/>
      <c r="AN32" s="42">
        <f t="shared" si="12"/>
        <v>-15000</v>
      </c>
      <c r="AO32" s="42">
        <v>100</v>
      </c>
      <c r="AP32" s="13">
        <f t="shared" si="14"/>
        <v>-2600.11</v>
      </c>
      <c r="AQ32" s="42">
        <v>0</v>
      </c>
      <c r="AR32" s="12"/>
      <c r="AS32" s="12"/>
      <c r="AT32" s="34"/>
    </row>
    <row r="33" spans="1:47" s="10" customFormat="1" ht="58.5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95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990</v>
      </c>
      <c r="W33" s="13"/>
      <c r="X33" s="13"/>
      <c r="Y33" s="13">
        <f t="shared" ref="Y33:Y35" si="65">V33</f>
        <v>990</v>
      </c>
      <c r="Z33" s="13"/>
      <c r="AA33" s="13">
        <v>74750</v>
      </c>
      <c r="AB33" s="13">
        <v>0</v>
      </c>
      <c r="AC33" s="113">
        <v>0</v>
      </c>
      <c r="AD33" s="113">
        <v>0</v>
      </c>
      <c r="AE33" s="13">
        <v>0</v>
      </c>
      <c r="AF33" s="13">
        <f t="shared" si="22"/>
        <v>0</v>
      </c>
      <c r="AG33" s="12"/>
      <c r="AH33" s="44"/>
      <c r="AI33" s="44"/>
      <c r="AJ33" s="13">
        <f t="shared" si="11"/>
        <v>-74750</v>
      </c>
      <c r="AK33" s="42">
        <f t="shared" si="18"/>
        <v>0</v>
      </c>
      <c r="AL33" s="12"/>
      <c r="AM33" s="12"/>
      <c r="AN33" s="42">
        <f t="shared" si="12"/>
        <v>0</v>
      </c>
      <c r="AO33" s="42">
        <v>0</v>
      </c>
      <c r="AP33" s="13">
        <f t="shared" si="14"/>
        <v>-990</v>
      </c>
      <c r="AQ33" s="42">
        <f t="shared" si="34"/>
        <v>0</v>
      </c>
      <c r="AR33" s="12"/>
      <c r="AS33" s="12"/>
      <c r="AT33" s="34"/>
    </row>
    <row r="34" spans="1:47" s="10" customFormat="1" ht="58.5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96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5"/>
        <v>0</v>
      </c>
      <c r="Z34" s="13"/>
      <c r="AA34" s="13">
        <v>0</v>
      </c>
      <c r="AB34" s="13">
        <v>6229.16</v>
      </c>
      <c r="AC34" s="113">
        <v>0</v>
      </c>
      <c r="AD34" s="113">
        <v>18381</v>
      </c>
      <c r="AE34" s="13">
        <v>0</v>
      </c>
      <c r="AF34" s="13">
        <f t="shared" si="22"/>
        <v>18381</v>
      </c>
      <c r="AG34" s="12"/>
      <c r="AH34" s="44"/>
      <c r="AI34" s="44"/>
      <c r="AJ34" s="13">
        <f t="shared" si="11"/>
        <v>18381</v>
      </c>
      <c r="AK34" s="42">
        <v>100</v>
      </c>
      <c r="AL34" s="12"/>
      <c r="AM34" s="12"/>
      <c r="AN34" s="42">
        <f t="shared" si="12"/>
        <v>12151.84</v>
      </c>
      <c r="AO34" s="42">
        <v>100</v>
      </c>
      <c r="AP34" s="13">
        <f t="shared" si="14"/>
        <v>18381</v>
      </c>
      <c r="AQ34" s="42">
        <v>100</v>
      </c>
      <c r="AR34" s="12"/>
      <c r="AS34" s="12"/>
      <c r="AT34" s="34"/>
    </row>
    <row r="35" spans="1:47" s="5" customFormat="1" ht="58.5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97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300</v>
      </c>
      <c r="W35" s="13"/>
      <c r="X35" s="13"/>
      <c r="Y35" s="13">
        <f t="shared" si="65"/>
        <v>300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2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100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100</v>
      </c>
      <c r="AP35" s="13">
        <f t="shared" si="14"/>
        <v>-300</v>
      </c>
      <c r="AQ35" s="42">
        <v>0</v>
      </c>
      <c r="AR35" s="12">
        <f t="shared" si="54"/>
        <v>-23095.54</v>
      </c>
      <c r="AS35" s="12">
        <f t="shared" si="55"/>
        <v>0</v>
      </c>
      <c r="AT35" s="31">
        <f>AF35</f>
        <v>0</v>
      </c>
    </row>
    <row r="36" spans="1:47" s="10" customFormat="1" ht="40.5" customHeight="1" x14ac:dyDescent="0.3">
      <c r="A36" s="9"/>
      <c r="B36" s="125" t="s">
        <v>14</v>
      </c>
      <c r="C36" s="125"/>
      <c r="D36" s="125"/>
      <c r="E36" s="125"/>
      <c r="F36" s="125"/>
      <c r="G36" s="125"/>
      <c r="H36" s="125"/>
      <c r="I36" s="125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2584.2600000000002</v>
      </c>
      <c r="W36" s="12"/>
      <c r="X36" s="12"/>
      <c r="Y36" s="12">
        <f>V36</f>
        <v>2584.2600000000002</v>
      </c>
      <c r="Z36" s="12">
        <v>763440</v>
      </c>
      <c r="AA36" s="12">
        <v>447000</v>
      </c>
      <c r="AB36" s="12">
        <v>600</v>
      </c>
      <c r="AC36" s="12">
        <v>0</v>
      </c>
      <c r="AD36" s="12">
        <v>0.73</v>
      </c>
      <c r="AE36" s="12">
        <v>0</v>
      </c>
      <c r="AF36" s="12">
        <f t="shared" si="22"/>
        <v>0.73</v>
      </c>
      <c r="AG36" s="12">
        <f t="shared" si="10"/>
        <v>0.73</v>
      </c>
      <c r="AH36" s="44">
        <f t="shared" si="4"/>
        <v>-763439.27</v>
      </c>
      <c r="AI36" s="44">
        <v>0</v>
      </c>
      <c r="AJ36" s="12">
        <f t="shared" si="11"/>
        <v>-446999.27</v>
      </c>
      <c r="AK36" s="44">
        <f t="shared" si="18"/>
        <v>1.6331096196868009E-4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-599.27</v>
      </c>
      <c r="AO36" s="44">
        <f t="shared" si="13"/>
        <v>0.12166666666666667</v>
      </c>
      <c r="AP36" s="12">
        <f t="shared" si="14"/>
        <v>-2583.5300000000002</v>
      </c>
      <c r="AQ36" s="44">
        <f t="shared" si="34"/>
        <v>2.8247931709657694E-2</v>
      </c>
      <c r="AR36" s="12">
        <f t="shared" si="54"/>
        <v>57775.090000000004</v>
      </c>
      <c r="AS36" s="12">
        <f t="shared" si="55"/>
        <v>-1.2635362814923435E-3</v>
      </c>
      <c r="AT36" s="34">
        <v>745000</v>
      </c>
    </row>
    <row r="37" spans="1:47" s="10" customFormat="1" ht="57.75" customHeight="1" x14ac:dyDescent="0.3">
      <c r="A37" s="9"/>
      <c r="B37" s="125" t="s">
        <v>13</v>
      </c>
      <c r="C37" s="125"/>
      <c r="D37" s="125"/>
      <c r="E37" s="125"/>
      <c r="F37" s="125"/>
      <c r="G37" s="125"/>
      <c r="H37" s="125"/>
      <c r="I37" s="125"/>
      <c r="J37" s="12">
        <f t="shared" ref="J37:N37" si="66">J38+J44</f>
        <v>26875602.490000002</v>
      </c>
      <c r="K37" s="12">
        <f t="shared" si="66"/>
        <v>26875602.490000002</v>
      </c>
      <c r="L37" s="12">
        <f t="shared" si="66"/>
        <v>10496131.460000001</v>
      </c>
      <c r="M37" s="12">
        <f t="shared" si="66"/>
        <v>10496131.460000001</v>
      </c>
      <c r="N37" s="12">
        <f t="shared" si="66"/>
        <v>29133952.98</v>
      </c>
      <c r="O37" s="12">
        <f>O38+O44</f>
        <v>30359839.810000002</v>
      </c>
      <c r="P37" s="12">
        <f t="shared" ref="P37" si="67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8">U38+U44</f>
        <v>34239492.269999996</v>
      </c>
      <c r="V37" s="12">
        <f t="shared" si="68"/>
        <v>948993.62</v>
      </c>
      <c r="W37" s="12"/>
      <c r="X37" s="12">
        <f t="shared" si="68"/>
        <v>0</v>
      </c>
      <c r="Y37" s="12">
        <f t="shared" si="68"/>
        <v>948993.62</v>
      </c>
      <c r="Z37" s="12">
        <f>Z38+Z44</f>
        <v>25090600</v>
      </c>
      <c r="AA37" s="12">
        <f>AA38+AA44</f>
        <v>29480458</v>
      </c>
      <c r="AB37" s="12">
        <f>AB38+AB44</f>
        <v>1431665.02</v>
      </c>
      <c r="AC37" s="12">
        <f t="shared" ref="AC37" si="69">AC38+AC44</f>
        <v>0</v>
      </c>
      <c r="AD37" s="12">
        <f t="shared" ref="AD37" si="70">AD38+AD44</f>
        <v>1</v>
      </c>
      <c r="AE37" s="12">
        <v>0</v>
      </c>
      <c r="AF37" s="12">
        <f>AF38+AF44</f>
        <v>1</v>
      </c>
      <c r="AG37" s="12">
        <f t="shared" si="10"/>
        <v>1</v>
      </c>
      <c r="AH37" s="44">
        <f t="shared" si="4"/>
        <v>-25090599</v>
      </c>
      <c r="AI37" s="44">
        <v>0</v>
      </c>
      <c r="AJ37" s="12">
        <f t="shared" si="11"/>
        <v>-29480457</v>
      </c>
      <c r="AK37" s="44">
        <f t="shared" si="18"/>
        <v>3.3920775586322298E-6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-1431664.02</v>
      </c>
      <c r="AO37" s="44">
        <f t="shared" si="13"/>
        <v>6.984874157224293E-5</v>
      </c>
      <c r="AP37" s="12">
        <f t="shared" si="14"/>
        <v>-948992.62</v>
      </c>
      <c r="AQ37" s="44">
        <f t="shared" si="34"/>
        <v>1.0537478639740486E-4</v>
      </c>
      <c r="AR37" s="12">
        <f t="shared" si="54"/>
        <v>-10496130.460000001</v>
      </c>
      <c r="AS37" s="12">
        <f t="shared" si="55"/>
        <v>9.5273196968895418E-6</v>
      </c>
      <c r="AT37" s="34">
        <f t="shared" ref="AT37" si="71">AT38+AT44</f>
        <v>1</v>
      </c>
    </row>
    <row r="38" spans="1:47" s="5" customFormat="1" ht="39" customHeight="1" x14ac:dyDescent="0.3">
      <c r="A38" s="4"/>
      <c r="B38" s="140" t="s">
        <v>60</v>
      </c>
      <c r="C38" s="140"/>
      <c r="D38" s="140"/>
      <c r="E38" s="140"/>
      <c r="F38" s="140"/>
      <c r="G38" s="140"/>
      <c r="H38" s="140"/>
      <c r="I38" s="140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C38" si="73">V39+V40+V43+V41+V42</f>
        <v>948993.62</v>
      </c>
      <c r="W38" s="13"/>
      <c r="X38" s="13">
        <f t="shared" si="73"/>
        <v>0</v>
      </c>
      <c r="Y38" s="13">
        <f t="shared" si="73"/>
        <v>948993.62</v>
      </c>
      <c r="Z38" s="13">
        <f t="shared" si="73"/>
        <v>25090600</v>
      </c>
      <c r="AA38" s="13">
        <f t="shared" si="73"/>
        <v>29480458</v>
      </c>
      <c r="AB38" s="13">
        <f t="shared" si="73"/>
        <v>1431665.02</v>
      </c>
      <c r="AC38" s="13">
        <f t="shared" si="73"/>
        <v>0</v>
      </c>
      <c r="AD38" s="13">
        <f t="shared" ref="AD38" si="74">AD39+AD40+AD43+AD41+AD42</f>
        <v>1</v>
      </c>
      <c r="AE38" s="13">
        <v>0</v>
      </c>
      <c r="AF38" s="13">
        <f>AF39+AF40+AF43+AF41+AF42</f>
        <v>1</v>
      </c>
      <c r="AG38" s="13">
        <f t="shared" si="10"/>
        <v>1</v>
      </c>
      <c r="AH38" s="44">
        <f t="shared" si="4"/>
        <v>-25090599</v>
      </c>
      <c r="AI38" s="44">
        <v>0</v>
      </c>
      <c r="AJ38" s="12">
        <f t="shared" si="11"/>
        <v>-29480457</v>
      </c>
      <c r="AK38" s="42">
        <f t="shared" si="18"/>
        <v>3.3920775586322298E-6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-1431664.02</v>
      </c>
      <c r="AO38" s="42">
        <f t="shared" si="13"/>
        <v>6.984874157224293E-5</v>
      </c>
      <c r="AP38" s="13">
        <f t="shared" si="14"/>
        <v>-948992.62</v>
      </c>
      <c r="AQ38" s="42">
        <f t="shared" si="34"/>
        <v>1.0537478639740486E-4</v>
      </c>
      <c r="AR38" s="12">
        <f t="shared" si="54"/>
        <v>-9871682.9800000004</v>
      </c>
      <c r="AS38" s="12">
        <f t="shared" si="55"/>
        <v>1.0129983921952898E-5</v>
      </c>
      <c r="AT38" s="31">
        <f>AF38</f>
        <v>1</v>
      </c>
    </row>
    <row r="39" spans="1:47" s="5" customFormat="1" ht="39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98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19722.400000000001</v>
      </c>
      <c r="W39" s="31"/>
      <c r="X39" s="31"/>
      <c r="Y39" s="31">
        <f>V39</f>
        <v>19722.400000000001</v>
      </c>
      <c r="Z39" s="31">
        <v>360000</v>
      </c>
      <c r="AA39" s="31">
        <v>380458</v>
      </c>
      <c r="AB39" s="31">
        <v>12000</v>
      </c>
      <c r="AC39" s="31">
        <v>0</v>
      </c>
      <c r="AD39" s="31">
        <v>1</v>
      </c>
      <c r="AE39" s="31">
        <v>0</v>
      </c>
      <c r="AF39" s="31">
        <f t="shared" si="22"/>
        <v>1</v>
      </c>
      <c r="AG39" s="31">
        <f t="shared" si="10"/>
        <v>1</v>
      </c>
      <c r="AH39" s="103">
        <f t="shared" si="4"/>
        <v>-359999</v>
      </c>
      <c r="AI39" s="103">
        <f>AF39/Z39*100</f>
        <v>2.7777777777777778E-4</v>
      </c>
      <c r="AJ39" s="31">
        <f t="shared" si="11"/>
        <v>-380457</v>
      </c>
      <c r="AK39" s="103">
        <f t="shared" si="18"/>
        <v>2.6284110204017263E-4</v>
      </c>
      <c r="AL39" s="31"/>
      <c r="AM39" s="31"/>
      <c r="AN39" s="103">
        <f t="shared" si="12"/>
        <v>-11999</v>
      </c>
      <c r="AO39" s="103">
        <f t="shared" si="13"/>
        <v>8.3333333333333332E-3</v>
      </c>
      <c r="AP39" s="31">
        <f t="shared" si="14"/>
        <v>-19721.400000000001</v>
      </c>
      <c r="AQ39" s="103">
        <f t="shared" si="34"/>
        <v>5.0703768304060353E-3</v>
      </c>
      <c r="AR39" s="12"/>
      <c r="AS39" s="12"/>
      <c r="AT39" s="31"/>
    </row>
    <row r="40" spans="1:47" s="5" customFormat="1" ht="39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99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928521.22</v>
      </c>
      <c r="W40" s="31"/>
      <c r="X40" s="31"/>
      <c r="Y40" s="31">
        <f>V40</f>
        <v>928521.22</v>
      </c>
      <c r="Z40" s="31">
        <v>22830600</v>
      </c>
      <c r="AA40" s="31">
        <v>27500000</v>
      </c>
      <c r="AB40" s="31">
        <v>1337800</v>
      </c>
      <c r="AC40" s="31">
        <v>0</v>
      </c>
      <c r="AD40" s="31">
        <v>0</v>
      </c>
      <c r="AE40" s="31">
        <v>0</v>
      </c>
      <c r="AF40" s="31">
        <f t="shared" si="22"/>
        <v>0</v>
      </c>
      <c r="AG40" s="31">
        <f t="shared" si="10"/>
        <v>0</v>
      </c>
      <c r="AH40" s="103">
        <f t="shared" si="4"/>
        <v>-22830600</v>
      </c>
      <c r="AI40" s="103">
        <f>AF40/Z40*100</f>
        <v>0</v>
      </c>
      <c r="AJ40" s="31">
        <f t="shared" si="11"/>
        <v>-27500000</v>
      </c>
      <c r="AK40" s="103">
        <f t="shared" si="18"/>
        <v>0</v>
      </c>
      <c r="AL40" s="31"/>
      <c r="AM40" s="31"/>
      <c r="AN40" s="103">
        <f t="shared" si="12"/>
        <v>-1337800</v>
      </c>
      <c r="AO40" s="103">
        <f t="shared" si="13"/>
        <v>0</v>
      </c>
      <c r="AP40" s="31">
        <f t="shared" si="14"/>
        <v>-928521.22</v>
      </c>
      <c r="AQ40" s="103">
        <f t="shared" si="34"/>
        <v>0</v>
      </c>
      <c r="AR40" s="12"/>
      <c r="AS40" s="12"/>
      <c r="AT40" s="31"/>
    </row>
    <row r="41" spans="1:47" s="5" customFormat="1" ht="39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100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0</v>
      </c>
      <c r="W41" s="31"/>
      <c r="X41" s="31"/>
      <c r="Y41" s="31">
        <f t="shared" ref="Y41:Y42" si="77">V41</f>
        <v>0</v>
      </c>
      <c r="Z41" s="31">
        <v>1400000</v>
      </c>
      <c r="AA41" s="31">
        <v>1400000</v>
      </c>
      <c r="AB41" s="31">
        <v>51865.02</v>
      </c>
      <c r="AC41" s="31">
        <v>0</v>
      </c>
      <c r="AD41" s="31">
        <v>0</v>
      </c>
      <c r="AE41" s="31">
        <v>0</v>
      </c>
      <c r="AF41" s="31">
        <f t="shared" si="22"/>
        <v>0</v>
      </c>
      <c r="AG41" s="31">
        <f t="shared" si="10"/>
        <v>0</v>
      </c>
      <c r="AH41" s="103">
        <f t="shared" si="4"/>
        <v>-1400000</v>
      </c>
      <c r="AI41" s="103">
        <f t="shared" ref="AI41:AI42" si="78">AF41/Z41*100</f>
        <v>0</v>
      </c>
      <c r="AJ41" s="31">
        <f t="shared" si="11"/>
        <v>-1400000</v>
      </c>
      <c r="AK41" s="103">
        <f t="shared" si="18"/>
        <v>0</v>
      </c>
      <c r="AL41" s="31"/>
      <c r="AM41" s="31"/>
      <c r="AN41" s="103">
        <f t="shared" si="12"/>
        <v>-51865.02</v>
      </c>
      <c r="AO41" s="103">
        <f t="shared" si="13"/>
        <v>0</v>
      </c>
      <c r="AP41" s="31">
        <f t="shared" si="14"/>
        <v>0</v>
      </c>
      <c r="AQ41" s="103">
        <v>0</v>
      </c>
      <c r="AR41" s="12"/>
      <c r="AS41" s="12"/>
      <c r="AT41" s="31"/>
    </row>
    <row r="42" spans="1:47" s="5" customFormat="1" ht="39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101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30000</v>
      </c>
      <c r="AC42" s="31">
        <v>0</v>
      </c>
      <c r="AD42" s="31">
        <v>0</v>
      </c>
      <c r="AE42" s="31">
        <v>0</v>
      </c>
      <c r="AF42" s="31">
        <f t="shared" si="22"/>
        <v>0</v>
      </c>
      <c r="AG42" s="31">
        <f t="shared" si="10"/>
        <v>0</v>
      </c>
      <c r="AH42" s="103">
        <f t="shared" si="4"/>
        <v>-500000</v>
      </c>
      <c r="AI42" s="103">
        <f t="shared" si="78"/>
        <v>0</v>
      </c>
      <c r="AJ42" s="31">
        <f t="shared" si="11"/>
        <v>-200000</v>
      </c>
      <c r="AK42" s="103">
        <f t="shared" si="18"/>
        <v>0</v>
      </c>
      <c r="AL42" s="31"/>
      <c r="AM42" s="31"/>
      <c r="AN42" s="103">
        <f t="shared" si="12"/>
        <v>-30000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102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750</v>
      </c>
      <c r="W43" s="31"/>
      <c r="X43" s="31"/>
      <c r="Y43" s="31">
        <f>V43</f>
        <v>750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f t="shared" si="22"/>
        <v>0</v>
      </c>
      <c r="AG43" s="31">
        <f t="shared" si="10"/>
        <v>0</v>
      </c>
      <c r="AH43" s="103">
        <f t="shared" si="4"/>
        <v>0</v>
      </c>
      <c r="AI43" s="103">
        <v>0</v>
      </c>
      <c r="AJ43" s="31">
        <f t="shared" si="11"/>
        <v>0</v>
      </c>
      <c r="AK43" s="103">
        <v>100</v>
      </c>
      <c r="AL43" s="31"/>
      <c r="AM43" s="31"/>
      <c r="AN43" s="103">
        <f t="shared" si="12"/>
        <v>0</v>
      </c>
      <c r="AO43" s="103">
        <v>100</v>
      </c>
      <c r="AP43" s="31">
        <f t="shared" si="14"/>
        <v>-750</v>
      </c>
      <c r="AQ43" s="103">
        <f t="shared" si="34"/>
        <v>0</v>
      </c>
      <c r="AR43" s="12"/>
      <c r="AS43" s="12"/>
      <c r="AT43" s="31"/>
    </row>
    <row r="44" spans="1:47" s="5" customFormat="1" ht="28.5" customHeight="1" x14ac:dyDescent="0.3">
      <c r="A44" s="4"/>
      <c r="B44" s="140" t="s">
        <v>12</v>
      </c>
      <c r="C44" s="140"/>
      <c r="D44" s="140"/>
      <c r="E44" s="140"/>
      <c r="F44" s="140"/>
      <c r="G44" s="140"/>
      <c r="H44" s="140"/>
      <c r="I44" s="140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0</v>
      </c>
      <c r="W44" s="13"/>
      <c r="X44" s="13"/>
      <c r="Y44" s="13">
        <f>V44</f>
        <v>0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f t="shared" si="22"/>
        <v>0</v>
      </c>
      <c r="AG44" s="13">
        <f t="shared" si="10"/>
        <v>0</v>
      </c>
      <c r="AH44" s="44">
        <f t="shared" si="4"/>
        <v>0</v>
      </c>
      <c r="AI44" s="44">
        <v>0</v>
      </c>
      <c r="AJ44" s="13">
        <f t="shared" si="11"/>
        <v>0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0</v>
      </c>
      <c r="AO44" s="42">
        <v>0</v>
      </c>
      <c r="AP44" s="13">
        <f t="shared" si="14"/>
        <v>0</v>
      </c>
      <c r="AQ44" s="42">
        <v>0</v>
      </c>
      <c r="AR44" s="12">
        <f t="shared" ref="AR44:AR59" si="79">AF44-M44</f>
        <v>-624447.48</v>
      </c>
      <c r="AS44" s="12">
        <f t="shared" ref="AS44:AS59" si="80">IF(M44=0,0,AF44/M44*100)</f>
        <v>0</v>
      </c>
      <c r="AT44" s="31">
        <f>AF44</f>
        <v>0</v>
      </c>
    </row>
    <row r="45" spans="1:47" s="10" customFormat="1" ht="60" customHeight="1" x14ac:dyDescent="0.3">
      <c r="A45" s="9"/>
      <c r="B45" s="125" t="s">
        <v>11</v>
      </c>
      <c r="C45" s="125"/>
      <c r="D45" s="125"/>
      <c r="E45" s="125"/>
      <c r="F45" s="125"/>
      <c r="G45" s="125"/>
      <c r="H45" s="125"/>
      <c r="I45" s="125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0</v>
      </c>
      <c r="W45" s="12"/>
      <c r="X45" s="12">
        <f t="shared" si="81"/>
        <v>0</v>
      </c>
      <c r="Y45" s="12">
        <f t="shared" si="81"/>
        <v>0</v>
      </c>
      <c r="Z45" s="12">
        <f t="shared" si="81"/>
        <v>132000</v>
      </c>
      <c r="AA45" s="12">
        <f t="shared" si="81"/>
        <v>132000</v>
      </c>
      <c r="AB45" s="12">
        <f t="shared" si="81"/>
        <v>0</v>
      </c>
      <c r="AC45" s="12">
        <f t="shared" ref="AC45" si="82">AC46+AC47</f>
        <v>0</v>
      </c>
      <c r="AD45" s="12">
        <f t="shared" si="81"/>
        <v>0</v>
      </c>
      <c r="AE45" s="12">
        <v>0</v>
      </c>
      <c r="AF45" s="12">
        <f t="shared" si="81"/>
        <v>0</v>
      </c>
      <c r="AG45" s="12">
        <f t="shared" si="10"/>
        <v>0</v>
      </c>
      <c r="AH45" s="44">
        <f t="shared" si="4"/>
        <v>-132000</v>
      </c>
      <c r="AI45" s="44">
        <f t="shared" ref="AI45:AI58" si="83">AF45/Z45*100</f>
        <v>0</v>
      </c>
      <c r="AJ45" s="12">
        <f t="shared" si="11"/>
        <v>-132000</v>
      </c>
      <c r="AK45" s="44">
        <f t="shared" si="18"/>
        <v>0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0</v>
      </c>
      <c r="AO45" s="44">
        <v>0</v>
      </c>
      <c r="AP45" s="12">
        <f t="shared" si="14"/>
        <v>0</v>
      </c>
      <c r="AQ45" s="44">
        <v>0</v>
      </c>
      <c r="AR45" s="12">
        <f t="shared" si="79"/>
        <v>-3198289.13</v>
      </c>
      <c r="AS45" s="12">
        <f t="shared" si="80"/>
        <v>0</v>
      </c>
      <c r="AT45" s="34">
        <f t="shared" ref="AT45" si="84">AT46+AT47</f>
        <v>0</v>
      </c>
    </row>
    <row r="46" spans="1:47" s="5" customFormat="1" ht="63" customHeight="1" x14ac:dyDescent="0.3">
      <c r="A46" s="4"/>
      <c r="B46" s="140" t="s">
        <v>37</v>
      </c>
      <c r="C46" s="140"/>
      <c r="D46" s="140"/>
      <c r="E46" s="140"/>
      <c r="F46" s="140"/>
      <c r="G46" s="140"/>
      <c r="H46" s="140"/>
      <c r="I46" s="140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0</v>
      </c>
      <c r="W46" s="13"/>
      <c r="X46" s="13"/>
      <c r="Y46" s="13">
        <f>V46</f>
        <v>0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2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0</v>
      </c>
      <c r="AQ46" s="42"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customHeight="1" x14ac:dyDescent="0.3">
      <c r="A47" s="4"/>
      <c r="B47" s="140" t="s">
        <v>10</v>
      </c>
      <c r="C47" s="140"/>
      <c r="D47" s="140"/>
      <c r="E47" s="140"/>
      <c r="F47" s="140"/>
      <c r="G47" s="140"/>
      <c r="H47" s="140"/>
      <c r="I47" s="140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0</v>
      </c>
      <c r="W47" s="13"/>
      <c r="X47" s="13"/>
      <c r="Y47" s="13">
        <f>V47</f>
        <v>0</v>
      </c>
      <c r="Z47" s="13">
        <v>0</v>
      </c>
      <c r="AA47" s="13">
        <v>132000</v>
      </c>
      <c r="AB47" s="13">
        <v>0</v>
      </c>
      <c r="AC47" s="13">
        <v>0</v>
      </c>
      <c r="AD47" s="13">
        <v>0</v>
      </c>
      <c r="AE47" s="13">
        <v>0</v>
      </c>
      <c r="AF47" s="13">
        <f t="shared" si="22"/>
        <v>0</v>
      </c>
      <c r="AG47" s="13">
        <f t="shared" si="10"/>
        <v>0</v>
      </c>
      <c r="AH47" s="44">
        <f t="shared" si="4"/>
        <v>0</v>
      </c>
      <c r="AI47" s="44">
        <v>0</v>
      </c>
      <c r="AJ47" s="13">
        <f t="shared" si="11"/>
        <v>-132000</v>
      </c>
      <c r="AK47" s="42">
        <f>AF47/AA47%</f>
        <v>0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0</v>
      </c>
      <c r="AO47" s="42">
        <v>0</v>
      </c>
      <c r="AP47" s="13">
        <f t="shared" si="14"/>
        <v>0</v>
      </c>
      <c r="AQ47" s="42">
        <v>0</v>
      </c>
      <c r="AR47" s="12">
        <f t="shared" si="79"/>
        <v>-3198289.13</v>
      </c>
      <c r="AS47" s="12">
        <f t="shared" si="80"/>
        <v>0</v>
      </c>
      <c r="AT47" s="31">
        <f>AF47</f>
        <v>0</v>
      </c>
      <c r="AU47" s="86" t="s">
        <v>78</v>
      </c>
    </row>
    <row r="48" spans="1:47" s="10" customFormat="1" ht="39.75" customHeight="1" x14ac:dyDescent="0.3">
      <c r="A48" s="9"/>
      <c r="B48" s="125" t="s">
        <v>9</v>
      </c>
      <c r="C48" s="125"/>
      <c r="D48" s="125"/>
      <c r="E48" s="125"/>
      <c r="F48" s="125"/>
      <c r="G48" s="125"/>
      <c r="H48" s="125"/>
      <c r="I48" s="125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20267.21</v>
      </c>
      <c r="W48" s="12"/>
      <c r="X48" s="12"/>
      <c r="Y48" s="12">
        <f>V48</f>
        <v>20267.21</v>
      </c>
      <c r="Z48" s="12">
        <v>1249470</v>
      </c>
      <c r="AA48" s="12">
        <v>1147080</v>
      </c>
      <c r="AB48" s="12">
        <v>5000</v>
      </c>
      <c r="AC48" s="12">
        <v>0</v>
      </c>
      <c r="AD48" s="12">
        <v>5800</v>
      </c>
      <c r="AE48" s="12">
        <v>0</v>
      </c>
      <c r="AF48" s="12">
        <f t="shared" si="22"/>
        <v>5800</v>
      </c>
      <c r="AG48" s="12">
        <f t="shared" si="10"/>
        <v>5800</v>
      </c>
      <c r="AH48" s="44">
        <f t="shared" si="4"/>
        <v>-1243670</v>
      </c>
      <c r="AI48" s="44">
        <f t="shared" si="83"/>
        <v>0.46419681945144736</v>
      </c>
      <c r="AJ48" s="12">
        <f t="shared" si="11"/>
        <v>-1141280</v>
      </c>
      <c r="AK48" s="44">
        <f t="shared" si="18"/>
        <v>0.50563169090211668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800</v>
      </c>
      <c r="AO48" s="44">
        <f t="shared" si="13"/>
        <v>115.99999999999999</v>
      </c>
      <c r="AP48" s="12">
        <f t="shared" si="14"/>
        <v>-14467.21</v>
      </c>
      <c r="AQ48" s="44">
        <f t="shared" si="34"/>
        <v>28.617653835925122</v>
      </c>
      <c r="AR48" s="12">
        <f t="shared" si="79"/>
        <v>-968457.27</v>
      </c>
      <c r="AS48" s="12">
        <f t="shared" si="80"/>
        <v>0.59532529841937953</v>
      </c>
      <c r="AT48" s="34">
        <f>AF48</f>
        <v>5800</v>
      </c>
    </row>
    <row r="49" spans="1:48" s="22" customFormat="1" ht="30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6714</v>
      </c>
      <c r="W49" s="25"/>
      <c r="X49" s="25"/>
      <c r="Y49" s="16">
        <f>V49</f>
        <v>6714</v>
      </c>
      <c r="Z49" s="25">
        <v>336190</v>
      </c>
      <c r="AA49" s="25">
        <v>159900</v>
      </c>
      <c r="AB49" s="25">
        <v>5000</v>
      </c>
      <c r="AC49" s="25">
        <v>0</v>
      </c>
      <c r="AD49" s="25">
        <v>0</v>
      </c>
      <c r="AE49" s="25">
        <v>0</v>
      </c>
      <c r="AF49" s="25">
        <f t="shared" si="22"/>
        <v>0</v>
      </c>
      <c r="AG49" s="16">
        <f t="shared" si="10"/>
        <v>0</v>
      </c>
      <c r="AH49" s="44">
        <f t="shared" si="4"/>
        <v>-336190</v>
      </c>
      <c r="AI49" s="44">
        <f t="shared" si="83"/>
        <v>0</v>
      </c>
      <c r="AJ49" s="12">
        <f t="shared" si="11"/>
        <v>-159900</v>
      </c>
      <c r="AK49" s="42">
        <f t="shared" si="18"/>
        <v>0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-5000</v>
      </c>
      <c r="AO49" s="42">
        <f t="shared" si="13"/>
        <v>0</v>
      </c>
      <c r="AP49" s="13">
        <f t="shared" si="14"/>
        <v>-6714</v>
      </c>
      <c r="AQ49" s="42">
        <f t="shared" si="34"/>
        <v>0</v>
      </c>
      <c r="AR49" s="12">
        <f t="shared" si="79"/>
        <v>-109317.03</v>
      </c>
      <c r="AS49" s="12">
        <f t="shared" si="80"/>
        <v>0</v>
      </c>
      <c r="AT49" s="31">
        <f>AF49</f>
        <v>0</v>
      </c>
      <c r="AV49" s="25"/>
    </row>
    <row r="50" spans="1:48" s="10" customFormat="1" ht="36.75" customHeight="1" x14ac:dyDescent="0.3">
      <c r="A50" s="9"/>
      <c r="B50" s="125" t="s">
        <v>7</v>
      </c>
      <c r="C50" s="125"/>
      <c r="D50" s="125"/>
      <c r="E50" s="125"/>
      <c r="F50" s="125"/>
      <c r="G50" s="125"/>
      <c r="H50" s="125"/>
      <c r="I50" s="125"/>
      <c r="J50" s="12">
        <f t="shared" ref="J50:P50" si="90">J51+J53</f>
        <v>1294662.3799999999</v>
      </c>
      <c r="K50" s="12">
        <f t="shared" si="90"/>
        <v>4263051.83</v>
      </c>
      <c r="L50" s="12">
        <f t="shared" si="90"/>
        <v>389278.05</v>
      </c>
      <c r="M50" s="12">
        <f t="shared" si="90"/>
        <v>389278.05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552735.30000000005</v>
      </c>
      <c r="W50" s="12">
        <f t="shared" si="92"/>
        <v>0</v>
      </c>
      <c r="X50" s="12">
        <f t="shared" si="92"/>
        <v>0</v>
      </c>
      <c r="Y50" s="12">
        <f t="shared" si="92"/>
        <v>552735.30000000005</v>
      </c>
      <c r="Z50" s="12">
        <f t="shared" ref="Z50:AB50" si="93">Z51+Z53</f>
        <v>2715689.65</v>
      </c>
      <c r="AA50" s="12">
        <f t="shared" si="93"/>
        <v>2968389.45</v>
      </c>
      <c r="AB50" s="12">
        <f t="shared" si="93"/>
        <v>54500</v>
      </c>
      <c r="AC50" s="12">
        <f>AC51+AC52+AC53</f>
        <v>0</v>
      </c>
      <c r="AD50" s="12">
        <f>AD51+AD52+AD53</f>
        <v>1604.72</v>
      </c>
      <c r="AE50" s="12">
        <v>0</v>
      </c>
      <c r="AF50" s="12">
        <f>AF51+AF52+AF53</f>
        <v>1604.72</v>
      </c>
      <c r="AG50" s="12">
        <f t="shared" si="10"/>
        <v>1604.72</v>
      </c>
      <c r="AH50" s="44">
        <f t="shared" si="4"/>
        <v>-2714084.9299999997</v>
      </c>
      <c r="AI50" s="44">
        <f t="shared" si="83"/>
        <v>5.9090699115784462E-2</v>
      </c>
      <c r="AJ50" s="12">
        <f t="shared" si="11"/>
        <v>-2966784.73</v>
      </c>
      <c r="AK50" s="44">
        <f t="shared" si="18"/>
        <v>5.4060291852876648E-2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-52895.28</v>
      </c>
      <c r="AO50" s="44">
        <f t="shared" si="13"/>
        <v>2.944440366972477</v>
      </c>
      <c r="AP50" s="12">
        <f t="shared" si="14"/>
        <v>-551130.58000000007</v>
      </c>
      <c r="AQ50" s="44">
        <f t="shared" si="34"/>
        <v>0.29032341520434829</v>
      </c>
      <c r="AR50" s="12">
        <f t="shared" si="79"/>
        <v>-387673.33</v>
      </c>
      <c r="AS50" s="12">
        <f t="shared" si="80"/>
        <v>0.41222976738606248</v>
      </c>
      <c r="AT50" s="34">
        <f t="shared" ref="AT50" si="94">AT51+AT53</f>
        <v>4357156.72</v>
      </c>
    </row>
    <row r="51" spans="1:48" s="5" customFormat="1" ht="23.25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86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29048.3</v>
      </c>
      <c r="W51" s="13"/>
      <c r="X51" s="13"/>
      <c r="Y51" s="13">
        <f>V51</f>
        <v>29048.3</v>
      </c>
      <c r="Z51" s="13">
        <v>0</v>
      </c>
      <c r="AA51" s="13">
        <v>0</v>
      </c>
      <c r="AB51" s="13">
        <v>0</v>
      </c>
      <c r="AC51" s="113">
        <v>0</v>
      </c>
      <c r="AD51" s="113">
        <v>1604.72</v>
      </c>
      <c r="AE51" s="13">
        <v>0</v>
      </c>
      <c r="AF51" s="13">
        <f t="shared" si="22"/>
        <v>1604.72</v>
      </c>
      <c r="AG51" s="16">
        <f t="shared" si="10"/>
        <v>1604.72</v>
      </c>
      <c r="AH51" s="44">
        <f t="shared" si="4"/>
        <v>1604.72</v>
      </c>
      <c r="AI51" s="44">
        <v>0</v>
      </c>
      <c r="AJ51" s="13">
        <f t="shared" si="11"/>
        <v>1604.72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1604.72</v>
      </c>
      <c r="AO51" s="42">
        <v>0</v>
      </c>
      <c r="AP51" s="13">
        <f t="shared" si="14"/>
        <v>-27443.579999999998</v>
      </c>
      <c r="AQ51" s="44">
        <f t="shared" si="34"/>
        <v>5.5243163971729841</v>
      </c>
      <c r="AR51" s="12">
        <f t="shared" si="79"/>
        <v>-387673.33</v>
      </c>
      <c r="AS51" s="12">
        <f t="shared" si="80"/>
        <v>0.41222976738606248</v>
      </c>
      <c r="AT51" s="31">
        <f>AF51</f>
        <v>1604.72</v>
      </c>
    </row>
    <row r="52" spans="1:48" s="5" customFormat="1" ht="39.75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87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2600</v>
      </c>
      <c r="W52" s="13"/>
      <c r="X52" s="13"/>
      <c r="Y52" s="13">
        <f t="shared" ref="Y52:Y53" si="96">V52</f>
        <v>2600</v>
      </c>
      <c r="Z52" s="13"/>
      <c r="AA52" s="13">
        <v>0</v>
      </c>
      <c r="AB52" s="13">
        <v>0</v>
      </c>
      <c r="AC52" s="113">
        <v>0</v>
      </c>
      <c r="AD52" s="113">
        <v>0</v>
      </c>
      <c r="AE52" s="13">
        <v>0</v>
      </c>
      <c r="AF52" s="13">
        <f t="shared" si="22"/>
        <v>0</v>
      </c>
      <c r="AG52" s="16">
        <f t="shared" si="10"/>
        <v>0</v>
      </c>
      <c r="AH52" s="44"/>
      <c r="AI52" s="44"/>
      <c r="AJ52" s="13">
        <f t="shared" si="11"/>
        <v>0</v>
      </c>
      <c r="AK52" s="42">
        <v>100</v>
      </c>
      <c r="AL52" s="13"/>
      <c r="AM52" s="13"/>
      <c r="AN52" s="42">
        <f t="shared" si="12"/>
        <v>0</v>
      </c>
      <c r="AO52" s="42">
        <v>100</v>
      </c>
      <c r="AP52" s="13">
        <f t="shared" si="14"/>
        <v>-2600</v>
      </c>
      <c r="AQ52" s="44">
        <f t="shared" si="34"/>
        <v>0</v>
      </c>
      <c r="AR52" s="12"/>
      <c r="AS52" s="12"/>
      <c r="AT52" s="31"/>
    </row>
    <row r="53" spans="1:48" s="5" customFormat="1" ht="28.5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2968389.45</v>
      </c>
      <c r="L53" s="13">
        <v>0</v>
      </c>
      <c r="M53" s="37">
        <f>AF53</f>
        <v>0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521087</v>
      </c>
      <c r="W53" s="13"/>
      <c r="X53" s="13"/>
      <c r="Y53" s="13">
        <f t="shared" si="96"/>
        <v>521087</v>
      </c>
      <c r="Z53" s="13">
        <v>2715689.65</v>
      </c>
      <c r="AA53" s="13">
        <v>2968389.45</v>
      </c>
      <c r="AB53" s="13">
        <v>54500</v>
      </c>
      <c r="AC53" s="13">
        <v>0</v>
      </c>
      <c r="AD53" s="13">
        <v>0</v>
      </c>
      <c r="AE53" s="13">
        <v>0</v>
      </c>
      <c r="AF53" s="13">
        <f t="shared" si="22"/>
        <v>0</v>
      </c>
      <c r="AG53" s="16">
        <f t="shared" si="10"/>
        <v>0</v>
      </c>
      <c r="AH53" s="44">
        <f t="shared" si="4"/>
        <v>-2715689.65</v>
      </c>
      <c r="AI53" s="44">
        <f t="shared" si="83"/>
        <v>0</v>
      </c>
      <c r="AJ53" s="13">
        <f t="shared" si="11"/>
        <v>-2968389.45</v>
      </c>
      <c r="AK53" s="42">
        <f t="shared" si="18"/>
        <v>0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-54500</v>
      </c>
      <c r="AO53" s="42">
        <f t="shared" si="13"/>
        <v>0</v>
      </c>
      <c r="AP53" s="13">
        <f t="shared" si="14"/>
        <v>-521087</v>
      </c>
      <c r="AQ53" s="42">
        <f t="shared" si="34"/>
        <v>0</v>
      </c>
      <c r="AR53" s="12">
        <f t="shared" si="79"/>
        <v>0</v>
      </c>
      <c r="AS53" s="12">
        <f t="shared" si="80"/>
        <v>0</v>
      </c>
      <c r="AT53" s="31">
        <f>5544443-1188891</f>
        <v>4355552</v>
      </c>
    </row>
    <row r="54" spans="1:48" s="10" customFormat="1" ht="23.25" customHeight="1" x14ac:dyDescent="0.3">
      <c r="A54" s="9"/>
      <c r="B54" s="125" t="s">
        <v>1</v>
      </c>
      <c r="C54" s="125"/>
      <c r="D54" s="125"/>
      <c r="E54" s="125"/>
      <c r="F54" s="125"/>
      <c r="G54" s="125"/>
      <c r="H54" s="125"/>
      <c r="I54" s="125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T54" si="98">S55+S56+S57+S58+S59+S60+S61+S62</f>
        <v>2058217674.4300001</v>
      </c>
      <c r="T54" s="12">
        <f t="shared" si="98"/>
        <v>2039899297.8500004</v>
      </c>
      <c r="U54" s="12">
        <f t="shared" ref="U54:AB54" si="99">U55+U56+U57+U58+U59+U61+U62</f>
        <v>2039899297.8500004</v>
      </c>
      <c r="V54" s="12">
        <f t="shared" si="99"/>
        <v>111333755.88000001</v>
      </c>
      <c r="W54" s="12"/>
      <c r="X54" s="12">
        <f t="shared" si="99"/>
        <v>0</v>
      </c>
      <c r="Y54" s="12">
        <f t="shared" si="99"/>
        <v>111333755.88000001</v>
      </c>
      <c r="Z54" s="12">
        <f t="shared" si="99"/>
        <v>1741578685.6100001</v>
      </c>
      <c r="AA54" s="12">
        <f t="shared" si="99"/>
        <v>1547736403.99</v>
      </c>
      <c r="AB54" s="12">
        <f t="shared" si="99"/>
        <v>127588410.66000001</v>
      </c>
      <c r="AC54" s="12">
        <f>AC55+AC56+AC57+AC58+AC59+AC61+AC62</f>
        <v>42052500</v>
      </c>
      <c r="AD54" s="12">
        <f>AD55+AD56+AD57+AD58+AD59+AD61+AD62</f>
        <v>21623270.699999999</v>
      </c>
      <c r="AE54" s="12">
        <v>42052500</v>
      </c>
      <c r="AF54" s="12">
        <f t="shared" ref="AF54" si="100">AF55+AF56+AF57+AF58+AF59+AF61+AF62</f>
        <v>63675770.700000003</v>
      </c>
      <c r="AG54" s="12">
        <f t="shared" si="10"/>
        <v>-20429229.300000001</v>
      </c>
      <c r="AH54" s="44">
        <f t="shared" si="4"/>
        <v>-1677902914.9100001</v>
      </c>
      <c r="AI54" s="44">
        <f t="shared" si="83"/>
        <v>3.6562098070060562</v>
      </c>
      <c r="AJ54" s="12">
        <f t="shared" si="11"/>
        <v>-1484060633.29</v>
      </c>
      <c r="AK54" s="44">
        <f t="shared" si="18"/>
        <v>4.1141224394442437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-63912639.960000008</v>
      </c>
      <c r="AO54" s="44">
        <f t="shared" si="13"/>
        <v>49.907174460919016</v>
      </c>
      <c r="AP54" s="12">
        <f t="shared" si="14"/>
        <v>-47657985.180000007</v>
      </c>
      <c r="AQ54" s="44">
        <f t="shared" si="34"/>
        <v>57.193588949457798</v>
      </c>
      <c r="AR54" s="12">
        <f t="shared" si="79"/>
        <v>-687153898.58999991</v>
      </c>
      <c r="AS54" s="12">
        <f t="shared" si="80"/>
        <v>8.480721168119679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25" t="s">
        <v>6</v>
      </c>
      <c r="C55" s="125"/>
      <c r="D55" s="125"/>
      <c r="E55" s="125"/>
      <c r="F55" s="125"/>
      <c r="G55" s="125"/>
      <c r="H55" s="125"/>
      <c r="I55" s="125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45273500</v>
      </c>
      <c r="W55" s="12"/>
      <c r="X55" s="12"/>
      <c r="Y55" s="12">
        <f>V55</f>
        <v>45273500</v>
      </c>
      <c r="Z55" s="12">
        <v>543282000</v>
      </c>
      <c r="AA55" s="12">
        <v>504630000</v>
      </c>
      <c r="AB55" s="34">
        <v>42052500</v>
      </c>
      <c r="AC55" s="12">
        <v>42052500</v>
      </c>
      <c r="AD55" s="12">
        <v>0</v>
      </c>
      <c r="AE55" s="12">
        <v>42052500</v>
      </c>
      <c r="AF55" s="12">
        <f t="shared" si="22"/>
        <v>42052500</v>
      </c>
      <c r="AG55" s="12">
        <f t="shared" si="10"/>
        <v>-42052500</v>
      </c>
      <c r="AH55" s="44">
        <f t="shared" si="4"/>
        <v>-501229500</v>
      </c>
      <c r="AI55" s="44">
        <f t="shared" si="83"/>
        <v>7.7404552331938099</v>
      </c>
      <c r="AJ55" s="12">
        <f t="shared" si="11"/>
        <v>-462577500</v>
      </c>
      <c r="AK55" s="44">
        <f t="shared" si="18"/>
        <v>8.3333333333333339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-3221000</v>
      </c>
      <c r="AQ55" s="44">
        <f t="shared" si="34"/>
        <v>92.885462798325733</v>
      </c>
      <c r="AR55" s="12">
        <f t="shared" si="79"/>
        <v>-159436500</v>
      </c>
      <c r="AS55" s="12">
        <f t="shared" si="80"/>
        <v>20.870866399654574</v>
      </c>
      <c r="AT55" s="34">
        <v>436509000</v>
      </c>
    </row>
    <row r="56" spans="1:48" s="10" customFormat="1" ht="43.5" customHeight="1" x14ac:dyDescent="0.3">
      <c r="A56" s="9"/>
      <c r="B56" s="125" t="s">
        <v>5</v>
      </c>
      <c r="C56" s="125"/>
      <c r="D56" s="125"/>
      <c r="E56" s="125"/>
      <c r="F56" s="125"/>
      <c r="G56" s="125"/>
      <c r="H56" s="125"/>
      <c r="I56" s="125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0</v>
      </c>
      <c r="W56" s="12"/>
      <c r="X56" s="12"/>
      <c r="Y56" s="12">
        <f>V56</f>
        <v>0</v>
      </c>
      <c r="Z56" s="12">
        <v>164450526.09999999</v>
      </c>
      <c r="AA56" s="12">
        <v>199694467.69999999</v>
      </c>
      <c r="AB56" s="12">
        <v>0</v>
      </c>
      <c r="AC56" s="12">
        <v>0</v>
      </c>
      <c r="AD56" s="12">
        <v>0</v>
      </c>
      <c r="AE56" s="12">
        <v>0</v>
      </c>
      <c r="AF56" s="12">
        <f t="shared" si="22"/>
        <v>0</v>
      </c>
      <c r="AG56" s="12">
        <f t="shared" si="10"/>
        <v>0</v>
      </c>
      <c r="AH56" s="44">
        <f t="shared" si="4"/>
        <v>-164450526.09999999</v>
      </c>
      <c r="AI56" s="44">
        <f t="shared" si="83"/>
        <v>0</v>
      </c>
      <c r="AJ56" s="12">
        <f t="shared" si="11"/>
        <v>-199694467.69999999</v>
      </c>
      <c r="AK56" s="44">
        <f t="shared" si="18"/>
        <v>0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0</v>
      </c>
      <c r="AO56" s="44">
        <v>0</v>
      </c>
      <c r="AP56" s="12">
        <f t="shared" si="14"/>
        <v>0</v>
      </c>
      <c r="AQ56" s="44">
        <v>0</v>
      </c>
      <c r="AR56" s="12">
        <f t="shared" si="79"/>
        <v>-68252184.099999994</v>
      </c>
      <c r="AS56" s="12">
        <f t="shared" si="80"/>
        <v>0</v>
      </c>
      <c r="AT56" s="34" t="e">
        <f>#REF!</f>
        <v>#REF!</v>
      </c>
    </row>
    <row r="57" spans="1:48" s="10" customFormat="1" ht="45" customHeight="1" x14ac:dyDescent="0.3">
      <c r="A57" s="9"/>
      <c r="B57" s="125" t="s">
        <v>4</v>
      </c>
      <c r="C57" s="125"/>
      <c r="D57" s="125"/>
      <c r="E57" s="125"/>
      <c r="F57" s="125"/>
      <c r="G57" s="125"/>
      <c r="H57" s="125"/>
      <c r="I57" s="125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66271640.420000002</v>
      </c>
      <c r="W57" s="12"/>
      <c r="X57" s="12"/>
      <c r="Y57" s="12">
        <f>V57</f>
        <v>66271640.420000002</v>
      </c>
      <c r="Z57" s="12">
        <v>1032066181.7</v>
      </c>
      <c r="AA57" s="12">
        <v>841614535.71000004</v>
      </c>
      <c r="AB57" s="12">
        <v>85385012.760000005</v>
      </c>
      <c r="AC57" s="12">
        <v>0</v>
      </c>
      <c r="AD57" s="12">
        <v>22699141.84</v>
      </c>
      <c r="AE57" s="12">
        <v>0</v>
      </c>
      <c r="AF57" s="12">
        <f t="shared" si="22"/>
        <v>22699141.84</v>
      </c>
      <c r="AG57" s="12">
        <f t="shared" si="10"/>
        <v>22699141.84</v>
      </c>
      <c r="AH57" s="44">
        <f t="shared" si="4"/>
        <v>-1009367039.86</v>
      </c>
      <c r="AI57" s="44">
        <f t="shared" si="83"/>
        <v>2.1993882022769506</v>
      </c>
      <c r="AJ57" s="12">
        <f t="shared" si="11"/>
        <v>-818915393.87</v>
      </c>
      <c r="AK57" s="44">
        <f t="shared" si="18"/>
        <v>2.6970947954042437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-62685870.920000002</v>
      </c>
      <c r="AO57" s="44">
        <f t="shared" si="13"/>
        <v>26.584456810708335</v>
      </c>
      <c r="AP57" s="12">
        <f t="shared" si="14"/>
        <v>-43572498.579999998</v>
      </c>
      <c r="AQ57" s="44">
        <f t="shared" si="34"/>
        <v>34.251667374072824</v>
      </c>
      <c r="AR57" s="12">
        <f t="shared" si="79"/>
        <v>-461799540.28000003</v>
      </c>
      <c r="AS57" s="12">
        <f t="shared" si="80"/>
        <v>4.6850781390521732</v>
      </c>
      <c r="AT57" s="34" t="e">
        <f>#REF!</f>
        <v>#REF!</v>
      </c>
    </row>
    <row r="58" spans="1:48" s="10" customFormat="1" ht="27" customHeight="1" x14ac:dyDescent="0.3">
      <c r="A58" s="9"/>
      <c r="B58" s="125" t="s">
        <v>3</v>
      </c>
      <c r="C58" s="125"/>
      <c r="D58" s="125"/>
      <c r="E58" s="125"/>
      <c r="F58" s="125"/>
      <c r="G58" s="125"/>
      <c r="H58" s="125"/>
      <c r="I58" s="125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140379.03</v>
      </c>
      <c r="W58" s="12"/>
      <c r="X58" s="12"/>
      <c r="Y58" s="12">
        <f>V58</f>
        <v>140379.03</v>
      </c>
      <c r="Z58" s="12">
        <v>1779977.81</v>
      </c>
      <c r="AA58" s="12">
        <v>1797400.58</v>
      </c>
      <c r="AB58" s="12">
        <v>150897.9</v>
      </c>
      <c r="AC58" s="12">
        <v>0</v>
      </c>
      <c r="AD58" s="12">
        <v>150897.9</v>
      </c>
      <c r="AE58" s="12">
        <v>0</v>
      </c>
      <c r="AF58" s="12">
        <f t="shared" si="22"/>
        <v>150897.9</v>
      </c>
      <c r="AG58" s="12">
        <f t="shared" si="10"/>
        <v>150897.9</v>
      </c>
      <c r="AH58" s="44">
        <f t="shared" si="4"/>
        <v>-1629079.9100000001</v>
      </c>
      <c r="AI58" s="44">
        <f t="shared" si="83"/>
        <v>8.4775157955480349</v>
      </c>
      <c r="AJ58" s="12">
        <f t="shared" si="11"/>
        <v>-1646502.6800000002</v>
      </c>
      <c r="AK58" s="44">
        <f t="shared" si="18"/>
        <v>8.3953405645390404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10518.869999999995</v>
      </c>
      <c r="AQ58" s="44">
        <f t="shared" si="34"/>
        <v>107.49319182501831</v>
      </c>
      <c r="AR58" s="12">
        <f t="shared" si="79"/>
        <v>-378502.53</v>
      </c>
      <c r="AS58" s="12">
        <f t="shared" si="80"/>
        <v>28.503546927606383</v>
      </c>
      <c r="AT58" s="34" t="e">
        <f>#REF!</f>
        <v>#REF!</v>
      </c>
    </row>
    <row r="59" spans="1:48" s="10" customFormat="1" ht="39" customHeight="1" x14ac:dyDescent="0.3">
      <c r="A59" s="9"/>
      <c r="B59" s="125" t="s">
        <v>2</v>
      </c>
      <c r="C59" s="125"/>
      <c r="D59" s="125"/>
      <c r="E59" s="125"/>
      <c r="F59" s="125"/>
      <c r="G59" s="125"/>
      <c r="H59" s="125"/>
      <c r="I59" s="125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1118.4000000000001</v>
      </c>
      <c r="W59" s="12"/>
      <c r="X59" s="12"/>
      <c r="Y59" s="12">
        <f>V59</f>
        <v>1118.4000000000001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2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-1118.4000000000001</v>
      </c>
      <c r="AQ59" s="44"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2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27124.19</v>
      </c>
      <c r="W61" s="12"/>
      <c r="X61" s="12"/>
      <c r="Y61" s="12">
        <f>V61</f>
        <v>27124.19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2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-27124.19</v>
      </c>
      <c r="AQ61" s="44"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5" t="s">
        <v>0</v>
      </c>
      <c r="C62" s="125"/>
      <c r="D62" s="125"/>
      <c r="E62" s="125"/>
      <c r="F62" s="125"/>
      <c r="G62" s="125"/>
      <c r="H62" s="125"/>
      <c r="I62" s="125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-380006.16</v>
      </c>
      <c r="W62" s="12"/>
      <c r="X62" s="12"/>
      <c r="Y62" s="12">
        <f>V62</f>
        <v>-380006.16</v>
      </c>
      <c r="Z62" s="12">
        <v>0</v>
      </c>
      <c r="AA62" s="12">
        <v>0</v>
      </c>
      <c r="AB62" s="12">
        <v>0</v>
      </c>
      <c r="AC62" s="12">
        <v>0</v>
      </c>
      <c r="AD62" s="12">
        <v>-1226769.04</v>
      </c>
      <c r="AE62" s="12">
        <v>0</v>
      </c>
      <c r="AF62" s="12">
        <f t="shared" si="22"/>
        <v>-1226769.04</v>
      </c>
      <c r="AG62" s="12">
        <f t="shared" si="10"/>
        <v>-1226769.04</v>
      </c>
      <c r="AH62" s="44">
        <f t="shared" si="4"/>
        <v>-1226769.04</v>
      </c>
      <c r="AI62" s="44">
        <v>0</v>
      </c>
      <c r="AJ62" s="12">
        <f t="shared" si="11"/>
        <v>-1226769.04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-1226769.04</v>
      </c>
      <c r="AO62" s="44">
        <v>0</v>
      </c>
      <c r="AP62" s="12">
        <f t="shared" si="14"/>
        <v>-846762.88000000012</v>
      </c>
      <c r="AQ62" s="44">
        <v>0</v>
      </c>
      <c r="AR62" s="12">
        <f>AF62-M62</f>
        <v>2727973.42</v>
      </c>
      <c r="AS62" s="12">
        <f>IF(M62=0,0,AF62/M62*100)</f>
        <v>31.020200491133881</v>
      </c>
      <c r="AT62" s="34">
        <f>AF62</f>
        <v>-1226769.04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5">J54+J7</f>
        <v>2092393430.8699999</v>
      </c>
      <c r="K63" s="13">
        <f t="shared" si="105"/>
        <v>2071137908.7351346</v>
      </c>
      <c r="L63" s="28">
        <f t="shared" si="105"/>
        <v>881017080.54999995</v>
      </c>
      <c r="M63" s="26">
        <f t="shared" si="105"/>
        <v>869807240.21554315</v>
      </c>
      <c r="N63" s="12">
        <f t="shared" si="105"/>
        <v>2309803775.2699995</v>
      </c>
      <c r="O63" s="12">
        <f t="shared" si="105"/>
        <v>2328450949.6999998</v>
      </c>
      <c r="P63" s="12">
        <f t="shared" si="105"/>
        <v>2327457942.815587</v>
      </c>
      <c r="Q63" s="12">
        <f t="shared" si="105"/>
        <v>2328450949.6999998</v>
      </c>
      <c r="R63" s="12">
        <f t="shared" si="105"/>
        <v>2324234116.085587</v>
      </c>
      <c r="S63" s="12">
        <f t="shared" si="105"/>
        <v>2468054121.4099998</v>
      </c>
      <c r="T63" s="12">
        <f t="shared" si="105"/>
        <v>2473502940.9500003</v>
      </c>
      <c r="U63" s="12">
        <f t="shared" si="105"/>
        <v>2610269494.995842</v>
      </c>
      <c r="V63" s="12">
        <f t="shared" si="105"/>
        <v>120131921.19000001</v>
      </c>
      <c r="W63" s="12"/>
      <c r="X63" s="12">
        <f t="shared" ref="X63:AF63" si="106">X54+X7</f>
        <v>0</v>
      </c>
      <c r="Y63" s="12">
        <f t="shared" si="106"/>
        <v>120915930.19548996</v>
      </c>
      <c r="Z63" s="12">
        <f t="shared" si="106"/>
        <v>2141993785.2600002</v>
      </c>
      <c r="AA63" s="12">
        <f t="shared" si="106"/>
        <v>2125335858.95</v>
      </c>
      <c r="AB63" s="12">
        <f t="shared" si="106"/>
        <v>145572695.07000002</v>
      </c>
      <c r="AC63" s="12">
        <f t="shared" si="106"/>
        <v>42322789.159999996</v>
      </c>
      <c r="AD63" s="12">
        <f t="shared" si="106"/>
        <v>24820595.91</v>
      </c>
      <c r="AE63" s="12">
        <f t="shared" si="106"/>
        <v>42322789.159999996</v>
      </c>
      <c r="AF63" s="12">
        <f t="shared" si="106"/>
        <v>67143385.070000008</v>
      </c>
      <c r="AG63" s="12">
        <f t="shared" si="10"/>
        <v>-17502193.249999996</v>
      </c>
      <c r="AH63" s="12">
        <f t="shared" si="4"/>
        <v>-2074850400.1900003</v>
      </c>
      <c r="AI63" s="12">
        <f>AF63/Z63*100</f>
        <v>3.1346209093622548</v>
      </c>
      <c r="AJ63" s="12">
        <f>AF63-AA63</f>
        <v>-2058192473.8800001</v>
      </c>
      <c r="AK63" s="12">
        <f t="shared" si="18"/>
        <v>3.1591893952785184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-78429310.000000015</v>
      </c>
      <c r="AO63" s="12">
        <f t="shared" si="13"/>
        <v>46.123612012344395</v>
      </c>
      <c r="AP63" s="12">
        <f t="shared" si="14"/>
        <v>-53772545.12548995</v>
      </c>
      <c r="AQ63" s="12">
        <f t="shared" si="34"/>
        <v>55.528981964118721</v>
      </c>
      <c r="AR63" s="12">
        <f>AF63-M63</f>
        <v>-802663855.1455431</v>
      </c>
      <c r="AS63" s="12">
        <f>IF(M63=0,0,AF63/M63*100)</f>
        <v>7.7193407878924409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120915930.19548997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42322789.159999996</v>
      </c>
      <c r="AF65" s="109">
        <v>1229277981.27</v>
      </c>
      <c r="AG65" s="95"/>
      <c r="AJ65" s="89"/>
      <c r="AK65" s="141"/>
      <c r="AL65" s="141"/>
      <c r="AM65" s="141"/>
      <c r="AN65" s="141"/>
      <c r="AO65" s="141"/>
      <c r="AP65" s="141"/>
    </row>
    <row r="66" spans="1:44" s="78" customFormat="1" ht="18" customHeight="1" x14ac:dyDescent="0.3">
      <c r="I66" s="78" t="s">
        <v>82</v>
      </c>
      <c r="O66" s="78" t="s">
        <v>40</v>
      </c>
      <c r="Q66" s="88"/>
      <c r="V66" s="88">
        <f>V63-V10+Y10</f>
        <v>120915930.19548997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I2:AN2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N4:N5"/>
    <mergeCell ref="O4:O5"/>
    <mergeCell ref="P4:P5"/>
    <mergeCell ref="Q4:Q5"/>
    <mergeCell ref="W4:W5"/>
    <mergeCell ref="V4:V5"/>
    <mergeCell ref="I4:I5"/>
    <mergeCell ref="J4:J5"/>
    <mergeCell ref="K4:K5"/>
    <mergeCell ref="L4:L5"/>
    <mergeCell ref="M4:M5"/>
  </mergeCells>
  <pageMargins left="0.39370078740157483" right="0.39370078740157483" top="0.78740157480314965" bottom="0.39370078740157483" header="0.39370078740157483" footer="0.39370078740157483"/>
  <pageSetup paperSize="9" scale="5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2024-01-16T12:20:30Z</cp:lastPrinted>
  <dcterms:created xsi:type="dcterms:W3CDTF">2018-12-30T09:36:16Z</dcterms:created>
  <dcterms:modified xsi:type="dcterms:W3CDTF">2024-01-19T15:13:46Z</dcterms:modified>
</cp:coreProperties>
</file>